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Z:\Financeiro\10-Relatório Financeiro\Portal da Transparência\REMUNERAÇÃO\2021\"/>
    </mc:Choice>
  </mc:AlternateContent>
  <xr:revisionPtr revIDLastSave="0" documentId="8_{C52E824A-7208-448C-9ED0-F57396FED38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DEZ_2020" sheetId="10" r:id="rId1"/>
  </sheets>
  <definedNames>
    <definedName name="_xlnm._FilterDatabase" localSheetId="0" hidden="1">DEZ_2020!$B$4:$DK$50</definedName>
    <definedName name="_xlnm.Print_Titles" localSheetId="0">DEZ_2020!$1:$4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K50" i="10" l="1"/>
  <c r="DK49" i="10"/>
  <c r="DK48" i="10"/>
  <c r="DK47" i="10"/>
  <c r="DK46" i="10"/>
  <c r="DK45" i="10"/>
  <c r="DK44" i="10"/>
  <c r="DK43" i="10"/>
  <c r="DK42" i="10"/>
  <c r="DK41" i="10"/>
  <c r="DK40" i="10"/>
  <c r="DK39" i="10"/>
  <c r="DK38" i="10"/>
  <c r="DK37" i="10"/>
  <c r="DK36" i="10"/>
  <c r="DK35" i="10"/>
  <c r="DK34" i="10"/>
  <c r="DK33" i="10"/>
  <c r="DK32" i="10"/>
  <c r="DK31" i="10"/>
  <c r="DK30" i="10"/>
  <c r="DK29" i="10"/>
  <c r="DK28" i="10"/>
  <c r="DK27" i="10"/>
  <c r="DK26" i="10"/>
  <c r="DK25" i="10"/>
  <c r="DK24" i="10"/>
  <c r="DK23" i="10"/>
  <c r="DK22" i="10"/>
  <c r="DK21" i="10"/>
  <c r="DK20" i="10"/>
  <c r="DK19" i="10"/>
  <c r="DK18" i="10"/>
  <c r="DK17" i="10"/>
  <c r="DK16" i="10"/>
  <c r="DK15" i="10"/>
  <c r="DK14" i="10"/>
  <c r="DK13" i="10"/>
  <c r="DK12" i="10"/>
  <c r="DK11" i="10"/>
  <c r="DK10" i="10"/>
  <c r="DK9" i="10"/>
  <c r="DK8" i="10"/>
  <c r="DK7" i="10"/>
  <c r="DK6" i="10"/>
  <c r="DK5" i="10"/>
  <c r="DF37" i="10"/>
  <c r="DF40" i="10"/>
  <c r="DG31" i="10"/>
  <c r="DG18" i="10"/>
  <c r="CX23" i="10" l="1"/>
  <c r="CX50" i="10"/>
  <c r="CX49" i="10"/>
  <c r="CX48" i="10"/>
  <c r="CX47" i="10"/>
  <c r="CX46" i="10"/>
  <c r="CU18" i="10" l="1"/>
  <c r="CT31" i="10"/>
  <c r="CS18" i="10"/>
  <c r="CJ50" i="10" l="1"/>
  <c r="CJ49" i="10"/>
  <c r="CJ48" i="10"/>
  <c r="CJ47" i="10"/>
  <c r="CJ46" i="10"/>
  <c r="CJ45" i="10"/>
  <c r="CJ44" i="10"/>
  <c r="CJ43" i="10"/>
  <c r="CJ40" i="10"/>
  <c r="CJ38" i="10"/>
  <c r="CJ37" i="10"/>
  <c r="CJ36" i="10"/>
  <c r="CJ34" i="10"/>
  <c r="CJ33" i="10"/>
  <c r="CJ32" i="10"/>
  <c r="CJ31" i="10"/>
  <c r="CJ27" i="10"/>
  <c r="CJ25" i="10"/>
  <c r="CJ24" i="10"/>
  <c r="CJ23" i="10"/>
  <c r="CJ22" i="10"/>
  <c r="CJ21" i="10"/>
  <c r="CJ20" i="10"/>
  <c r="CJ19" i="10"/>
  <c r="CJ18" i="10"/>
  <c r="CJ16" i="10"/>
  <c r="CJ15" i="10"/>
  <c r="CJ13" i="10"/>
  <c r="CJ11" i="10"/>
  <c r="CJ10" i="10"/>
  <c r="CJ9" i="10"/>
  <c r="CJ7" i="10"/>
  <c r="CJ5" i="10"/>
  <c r="CG50" i="10" l="1"/>
  <c r="CG49" i="10"/>
  <c r="CG48" i="10"/>
  <c r="CG47" i="10"/>
  <c r="CG46" i="10"/>
  <c r="CG45" i="10"/>
  <c r="CG44" i="10"/>
  <c r="CG43" i="10"/>
  <c r="CG40" i="10"/>
  <c r="CG38" i="10"/>
  <c r="CG37" i="10"/>
  <c r="CG36" i="10"/>
  <c r="CG34" i="10"/>
  <c r="CG33" i="10"/>
  <c r="CG32" i="10"/>
  <c r="CG31" i="10"/>
  <c r="CG27" i="10"/>
  <c r="CG25" i="10"/>
  <c r="CG24" i="10"/>
  <c r="CG23" i="10"/>
  <c r="CG22" i="10"/>
  <c r="CG21" i="10"/>
  <c r="CG20" i="10"/>
  <c r="CG19" i="10"/>
  <c r="CG18" i="10"/>
  <c r="CG16" i="10"/>
  <c r="CG15" i="10"/>
  <c r="CG13" i="10"/>
  <c r="CG11" i="10"/>
  <c r="CG10" i="10"/>
  <c r="CG9" i="10"/>
  <c r="CG7" i="10"/>
  <c r="CG5" i="10"/>
  <c r="CB13" i="10"/>
  <c r="CE50" i="10"/>
  <c r="CE49" i="10"/>
  <c r="CE48" i="10"/>
  <c r="CE47" i="10"/>
  <c r="CE46" i="10"/>
  <c r="CE45" i="10"/>
  <c r="CE44" i="10"/>
  <c r="CE43" i="10"/>
  <c r="CE40" i="10"/>
  <c r="CE38" i="10"/>
  <c r="CE37" i="10"/>
  <c r="CE36" i="10"/>
  <c r="CE34" i="10"/>
  <c r="CE33" i="10"/>
  <c r="CE32" i="10"/>
  <c r="CE31" i="10"/>
  <c r="CE27" i="10"/>
  <c r="CE25" i="10"/>
  <c r="CE24" i="10"/>
  <c r="CE23" i="10"/>
  <c r="CE22" i="10"/>
  <c r="CE21" i="10"/>
  <c r="CE20" i="10"/>
  <c r="CE19" i="10"/>
  <c r="CE18" i="10"/>
  <c r="CE16" i="10"/>
  <c r="CE15" i="10"/>
  <c r="CE13" i="10"/>
  <c r="CE11" i="10"/>
  <c r="CE10" i="10"/>
  <c r="CE9" i="10"/>
  <c r="CE7" i="10"/>
  <c r="CE5" i="10"/>
  <c r="CB50" i="10" l="1"/>
  <c r="CB49" i="10"/>
  <c r="CB48" i="10"/>
  <c r="CB47" i="10"/>
  <c r="CB46" i="10"/>
  <c r="CB44" i="10"/>
  <c r="CB43" i="10"/>
  <c r="CB40" i="10"/>
  <c r="CB38" i="10"/>
  <c r="CB37" i="10"/>
  <c r="CB36" i="10"/>
  <c r="CB34" i="10"/>
  <c r="CB33" i="10"/>
  <c r="CB32" i="10"/>
  <c r="CB27" i="10"/>
  <c r="CB25" i="10"/>
  <c r="CB24" i="10"/>
  <c r="CB23" i="10"/>
  <c r="CB22" i="10"/>
  <c r="CB21" i="10"/>
  <c r="CB20" i="10"/>
  <c r="CB19" i="10"/>
  <c r="CB18" i="10"/>
  <c r="CB16" i="10"/>
  <c r="CB11" i="10"/>
  <c r="CB10" i="10"/>
  <c r="CB9" i="10"/>
  <c r="CB7" i="10"/>
  <c r="CB5" i="10"/>
  <c r="BY38" i="10" l="1"/>
  <c r="BY50" i="10"/>
  <c r="BY49" i="10"/>
  <c r="BY48" i="10"/>
  <c r="BY47" i="10"/>
  <c r="BY46" i="10"/>
  <c r="BY45" i="10"/>
  <c r="BY44" i="10"/>
  <c r="BY43" i="10"/>
  <c r="BY40" i="10"/>
  <c r="BY37" i="10"/>
  <c r="BY36" i="10"/>
  <c r="BY34" i="10"/>
  <c r="BY33" i="10"/>
  <c r="BY32" i="10"/>
  <c r="BY31" i="10"/>
  <c r="BY27" i="10"/>
  <c r="BY25" i="10"/>
  <c r="BY24" i="10"/>
  <c r="BY23" i="10"/>
  <c r="BY22" i="10"/>
  <c r="BY21" i="10"/>
  <c r="BY20" i="10"/>
  <c r="BY19" i="10"/>
  <c r="BY18" i="10"/>
  <c r="BY16" i="10"/>
  <c r="BY15" i="10"/>
  <c r="BY13" i="10"/>
  <c r="BY11" i="10"/>
  <c r="BY10" i="10"/>
  <c r="BY9" i="10"/>
  <c r="BY7" i="10"/>
  <c r="BY5" i="10"/>
  <c r="BV50" i="10"/>
  <c r="BV49" i="10"/>
  <c r="BV48" i="10"/>
  <c r="BV47" i="10"/>
  <c r="BV46" i="10"/>
  <c r="BV45" i="10"/>
  <c r="BV44" i="10"/>
  <c r="BV43" i="10"/>
  <c r="BV40" i="10"/>
  <c r="BV38" i="10"/>
  <c r="BV37" i="10"/>
  <c r="BV36" i="10"/>
  <c r="BV34" i="10"/>
  <c r="BV33" i="10"/>
  <c r="BV32" i="10"/>
  <c r="BV31" i="10"/>
  <c r="BV27" i="10"/>
  <c r="BV25" i="10"/>
  <c r="BV24" i="10"/>
  <c r="BV23" i="10"/>
  <c r="BV22" i="10"/>
  <c r="BV21" i="10"/>
  <c r="BV20" i="10"/>
  <c r="BV19" i="10"/>
  <c r="BV18" i="10"/>
  <c r="BV16" i="10"/>
  <c r="BV15" i="10"/>
  <c r="BV13" i="10"/>
  <c r="BV11" i="10"/>
  <c r="BV10" i="10"/>
  <c r="BV9" i="10"/>
  <c r="BV7" i="10"/>
  <c r="BV5" i="10"/>
  <c r="BT50" i="10"/>
  <c r="BT49" i="10"/>
  <c r="BT48" i="10"/>
  <c r="BT47" i="10"/>
  <c r="BT46" i="10"/>
  <c r="BT45" i="10"/>
  <c r="BT44" i="10"/>
  <c r="BT43" i="10"/>
  <c r="BT40" i="10"/>
  <c r="BT38" i="10"/>
  <c r="BT37" i="10"/>
  <c r="BT36" i="10"/>
  <c r="BT34" i="10"/>
  <c r="BT33" i="10"/>
  <c r="BT32" i="10"/>
  <c r="BT31" i="10"/>
  <c r="BT27" i="10"/>
  <c r="BT25" i="10"/>
  <c r="BT24" i="10"/>
  <c r="BT23" i="10"/>
  <c r="BT22" i="10"/>
  <c r="BT21" i="10"/>
  <c r="BT20" i="10"/>
  <c r="BT19" i="10"/>
  <c r="BT18" i="10"/>
  <c r="BT16" i="10"/>
  <c r="BT15" i="10"/>
  <c r="BT11" i="10"/>
  <c r="BT10" i="10"/>
  <c r="BT9" i="10"/>
  <c r="BT7" i="10"/>
  <c r="BT5" i="10"/>
  <c r="BT14" i="10"/>
  <c r="BT13" i="10" l="1"/>
  <c r="BR38" i="10"/>
  <c r="BR13" i="10"/>
  <c r="BR50" i="10"/>
  <c r="BR49" i="10"/>
  <c r="BR48" i="10"/>
  <c r="BR47" i="10"/>
  <c r="BR46" i="10"/>
  <c r="BR45" i="10"/>
  <c r="BR44" i="10"/>
  <c r="BR43" i="10"/>
  <c r="BR40" i="10"/>
  <c r="BR37" i="10"/>
  <c r="BR36" i="10"/>
  <c r="BR34" i="10"/>
  <c r="BR27" i="10"/>
  <c r="BR25" i="10"/>
  <c r="BR24" i="10"/>
  <c r="BR23" i="10"/>
  <c r="BR21" i="10"/>
  <c r="BR20" i="10"/>
  <c r="BR19" i="10"/>
  <c r="BR18" i="10"/>
  <c r="BR16" i="10"/>
  <c r="BR11" i="10"/>
  <c r="BR10" i="10"/>
  <c r="BR9" i="10"/>
  <c r="BR7" i="10"/>
  <c r="BR5" i="10"/>
  <c r="BH23" i="10" l="1"/>
  <c r="BO50" i="10"/>
  <c r="BO49" i="10"/>
  <c r="BO48" i="10"/>
  <c r="BO47" i="10"/>
  <c r="BO46" i="10"/>
  <c r="BO45" i="10"/>
  <c r="BO44" i="10"/>
  <c r="BO43" i="10"/>
  <c r="BO40" i="10"/>
  <c r="BO38" i="10"/>
  <c r="BO37" i="10"/>
  <c r="BO36" i="10"/>
  <c r="BO34" i="10"/>
  <c r="BO33" i="10"/>
  <c r="BO32" i="10"/>
  <c r="BO31" i="10"/>
  <c r="BO27" i="10"/>
  <c r="BO25" i="10"/>
  <c r="BO24" i="10"/>
  <c r="BO23" i="10"/>
  <c r="BO22" i="10"/>
  <c r="BO21" i="10"/>
  <c r="BO20" i="10"/>
  <c r="BO19" i="10"/>
  <c r="BO18" i="10"/>
  <c r="BO16" i="10"/>
  <c r="BO15" i="10"/>
  <c r="BO14" i="10"/>
  <c r="BO13" i="10"/>
  <c r="BO11" i="10"/>
  <c r="BO10" i="10"/>
  <c r="BO9" i="10"/>
  <c r="BO7" i="10"/>
  <c r="BO5" i="10"/>
  <c r="BL13" i="10"/>
  <c r="BL5" i="10"/>
  <c r="BL50" i="10"/>
  <c r="BL49" i="10"/>
  <c r="BL47" i="10"/>
  <c r="BL44" i="10"/>
  <c r="BL43" i="10"/>
  <c r="BL40" i="10"/>
  <c r="BL34" i="10"/>
  <c r="BL33" i="10"/>
  <c r="BL32" i="10"/>
  <c r="BL31" i="10"/>
  <c r="BL27" i="10"/>
  <c r="BL24" i="10"/>
  <c r="BL23" i="10"/>
  <c r="BL21" i="10"/>
  <c r="BL20" i="10"/>
  <c r="BL19" i="10"/>
  <c r="BL16" i="10"/>
  <c r="BL15" i="10"/>
  <c r="BL14" i="10"/>
  <c r="BL10" i="10"/>
  <c r="BL9" i="10"/>
  <c r="BJ40" i="10"/>
  <c r="BJ43" i="10"/>
  <c r="BJ44" i="10"/>
  <c r="BJ49" i="10"/>
  <c r="BJ50" i="10"/>
  <c r="BJ47" i="10" l="1"/>
  <c r="BJ34" i="10" l="1"/>
  <c r="BJ33" i="10"/>
  <c r="BJ32" i="10"/>
  <c r="BJ31" i="10"/>
  <c r="BJ27" i="10"/>
  <c r="BJ24" i="10"/>
  <c r="BJ23" i="10"/>
  <c r="BJ21" i="10"/>
  <c r="BJ20" i="10"/>
  <c r="BJ19" i="10"/>
  <c r="BJ16" i="10"/>
  <c r="BJ15" i="10"/>
  <c r="BJ14" i="10"/>
  <c r="BJ13" i="10"/>
  <c r="BJ10" i="10"/>
  <c r="BJ9" i="10"/>
  <c r="BJ5" i="10"/>
  <c r="BH5" i="10" l="1"/>
  <c r="BH13" i="10"/>
  <c r="BH50" i="10"/>
  <c r="BH49" i="10"/>
  <c r="BH48" i="10"/>
  <c r="BH47" i="10"/>
  <c r="BH46" i="10"/>
  <c r="BH45" i="10"/>
  <c r="BH44" i="10"/>
  <c r="BH43" i="10"/>
  <c r="BH40" i="10"/>
  <c r="BH38" i="10"/>
  <c r="BH37" i="10"/>
  <c r="BH36" i="10"/>
  <c r="BH34" i="10"/>
  <c r="BH33" i="10"/>
  <c r="BH32" i="10"/>
  <c r="BH27" i="10"/>
  <c r="BH25" i="10"/>
  <c r="BH24" i="10"/>
  <c r="BH22" i="10"/>
  <c r="BH21" i="10"/>
  <c r="BH20" i="10"/>
  <c r="BH19" i="10"/>
  <c r="BH18" i="10"/>
  <c r="BH16" i="10"/>
  <c r="BH11" i="10"/>
  <c r="BH10" i="10"/>
  <c r="BH9" i="10"/>
  <c r="BH7" i="10"/>
  <c r="BL48" i="10"/>
  <c r="BJ48" i="10"/>
  <c r="BL46" i="10"/>
  <c r="BJ46" i="10"/>
  <c r="BL45" i="10"/>
  <c r="BJ45" i="10"/>
  <c r="BL38" i="10"/>
  <c r="BJ38" i="10"/>
  <c r="BL37" i="10"/>
  <c r="BJ37" i="10"/>
  <c r="BL36" i="10"/>
  <c r="BJ36" i="10"/>
  <c r="BL25" i="10"/>
  <c r="BJ25" i="10"/>
  <c r="BL22" i="10"/>
  <c r="BJ22" i="10"/>
  <c r="BL18" i="10"/>
  <c r="BJ18" i="10"/>
  <c r="BL11" i="10"/>
  <c r="BJ11" i="10"/>
  <c r="BL7" i="10"/>
  <c r="BJ7" i="10"/>
  <c r="BE5" i="10" l="1"/>
  <c r="BE50" i="10"/>
  <c r="BE25" i="10"/>
  <c r="BE11" i="10"/>
  <c r="BD5" i="10"/>
  <c r="BB50" i="10"/>
  <c r="BB25" i="10"/>
  <c r="BB11" i="10"/>
  <c r="BB5" i="10"/>
  <c r="AZ50" i="10"/>
  <c r="AZ25" i="10"/>
  <c r="AZ11" i="10"/>
  <c r="AZ48" i="10"/>
  <c r="AZ46" i="10"/>
  <c r="AZ45" i="10"/>
  <c r="AZ38" i="10"/>
  <c r="AZ37" i="10"/>
  <c r="AZ36" i="10"/>
  <c r="AZ22" i="10"/>
  <c r="AZ18" i="10"/>
  <c r="AZ13" i="10"/>
  <c r="AZ7" i="10"/>
  <c r="AZ5" i="10"/>
  <c r="AX50" i="10" l="1"/>
  <c r="AX49" i="10"/>
  <c r="AX47" i="10"/>
  <c r="AX44" i="10"/>
  <c r="AX43" i="10"/>
  <c r="AX40" i="10"/>
  <c r="AX34" i="10"/>
  <c r="AX33" i="10"/>
  <c r="AX32" i="10"/>
  <c r="AX27" i="10"/>
  <c r="AX24" i="10"/>
  <c r="AX23" i="10"/>
  <c r="AX21" i="10"/>
  <c r="AX20" i="10"/>
  <c r="AX19" i="10"/>
  <c r="AX16" i="10"/>
  <c r="AX14" i="10"/>
  <c r="AX13" i="10"/>
  <c r="AX10" i="10"/>
  <c r="AX9" i="10"/>
  <c r="BE48" i="10"/>
  <c r="BB48" i="10"/>
  <c r="AX48" i="10"/>
  <c r="BE46" i="10"/>
  <c r="BB46" i="10"/>
  <c r="AX46" i="10"/>
  <c r="BE45" i="10"/>
  <c r="BB45" i="10"/>
  <c r="AX45" i="10"/>
  <c r="BE38" i="10"/>
  <c r="BB38" i="10"/>
  <c r="AX38" i="10"/>
  <c r="BE37" i="10"/>
  <c r="BB37" i="10"/>
  <c r="AX37" i="10"/>
  <c r="BE36" i="10"/>
  <c r="BB36" i="10"/>
  <c r="AX36" i="10"/>
  <c r="AX25" i="10"/>
  <c r="BE22" i="10"/>
  <c r="BB22" i="10"/>
  <c r="AX22" i="10"/>
  <c r="BE18" i="10"/>
  <c r="BB18" i="10"/>
  <c r="AX18" i="10"/>
  <c r="BE13" i="10"/>
  <c r="BB13" i="10"/>
  <c r="AX11" i="10"/>
  <c r="BE7" i="10"/>
  <c r="BB7" i="10"/>
  <c r="AX7" i="10"/>
  <c r="AU50" i="10" l="1"/>
  <c r="AU48" i="10"/>
  <c r="AU45" i="10"/>
  <c r="AU25" i="10"/>
  <c r="AU11" i="10"/>
  <c r="AP50" i="10"/>
  <c r="AP48" i="10"/>
  <c r="AP45" i="10"/>
  <c r="AP25" i="10"/>
  <c r="AP11" i="10"/>
  <c r="AN45" i="10"/>
  <c r="AN48" i="10"/>
  <c r="AN46" i="10"/>
  <c r="AN38" i="10"/>
  <c r="AN37" i="10"/>
  <c r="AN36" i="10"/>
  <c r="AN25" i="10"/>
  <c r="AN22" i="10"/>
  <c r="AN18" i="10"/>
  <c r="AN13" i="10"/>
  <c r="AN11" i="10"/>
  <c r="AN7" i="10"/>
  <c r="AN5" i="10"/>
  <c r="AR50" i="10"/>
  <c r="AR48" i="10"/>
  <c r="AR45" i="10"/>
  <c r="AR25" i="10"/>
  <c r="AR11" i="10"/>
  <c r="AR7" i="10"/>
  <c r="AU46" i="10" l="1"/>
  <c r="AR46" i="10"/>
  <c r="AP46" i="10"/>
  <c r="AU38" i="10"/>
  <c r="AR38" i="10"/>
  <c r="AP38" i="10"/>
  <c r="AU37" i="10"/>
  <c r="AR37" i="10"/>
  <c r="AP37" i="10"/>
  <c r="AU36" i="10"/>
  <c r="AR36" i="10"/>
  <c r="AP36" i="10"/>
  <c r="AU22" i="10"/>
  <c r="AR22" i="10"/>
  <c r="AP22" i="10"/>
  <c r="AU18" i="10"/>
  <c r="AR18" i="10"/>
  <c r="AP18" i="10"/>
  <c r="AU13" i="10"/>
  <c r="AR13" i="10"/>
  <c r="AP13" i="10"/>
  <c r="AU7" i="10"/>
  <c r="AP7" i="10"/>
  <c r="AU5" i="10"/>
  <c r="AR5" i="10"/>
  <c r="AP5" i="10"/>
  <c r="AH47" i="10" l="1"/>
  <c r="AK49" i="10"/>
  <c r="AK44" i="10"/>
  <c r="AK11" i="10"/>
  <c r="AK50" i="10"/>
  <c r="AK48" i="10"/>
  <c r="AK47" i="10"/>
  <c r="AK46" i="10"/>
  <c r="AK45" i="10"/>
  <c r="AK42" i="10"/>
  <c r="AK41" i="10"/>
  <c r="AK39" i="10"/>
  <c r="AK38" i="10"/>
  <c r="AK37" i="10"/>
  <c r="AK36" i="10"/>
  <c r="AK34" i="10"/>
  <c r="AK33" i="10"/>
  <c r="AK32" i="10"/>
  <c r="AK31" i="10"/>
  <c r="AK26" i="10"/>
  <c r="AK25" i="10"/>
  <c r="AK24" i="10"/>
  <c r="AK23" i="10"/>
  <c r="AK22" i="10"/>
  <c r="AK21" i="10"/>
  <c r="AK20" i="10"/>
  <c r="AK19" i="10"/>
  <c r="AK18" i="10"/>
  <c r="AK16" i="10"/>
  <c r="AK15" i="10"/>
  <c r="AK13" i="10"/>
  <c r="AK9" i="10"/>
  <c r="AK8" i="10"/>
  <c r="AK7" i="10"/>
  <c r="AK6" i="10"/>
  <c r="AK5" i="10"/>
  <c r="AJ11" i="10"/>
  <c r="AI44" i="10"/>
  <c r="AH48" i="10"/>
  <c r="AH49" i="10"/>
  <c r="AH50" i="10"/>
  <c r="AH41" i="10"/>
  <c r="AH37" i="10"/>
  <c r="AH34" i="10"/>
  <c r="AH16" i="10"/>
  <c r="AH15" i="10"/>
  <c r="AH11" i="10" l="1"/>
  <c r="AF15" i="10"/>
  <c r="AF16" i="10"/>
  <c r="AF34" i="10"/>
  <c r="AF37" i="10"/>
  <c r="AF47" i="10"/>
  <c r="AF50" i="10"/>
  <c r="AF49" i="10"/>
  <c r="AF48" i="10"/>
  <c r="AF41" i="10"/>
  <c r="AF11" i="10"/>
  <c r="AH46" i="10"/>
  <c r="AF46" i="10"/>
  <c r="AH45" i="10"/>
  <c r="AF45" i="10"/>
  <c r="AH44" i="10"/>
  <c r="AF44" i="10"/>
  <c r="AH42" i="10"/>
  <c r="AF42" i="10"/>
  <c r="AH39" i="10"/>
  <c r="AF39" i="10"/>
  <c r="AH38" i="10"/>
  <c r="AF38" i="10"/>
  <c r="AH36" i="10"/>
  <c r="AF36" i="10"/>
  <c r="AH33" i="10"/>
  <c r="AF33" i="10"/>
  <c r="AH32" i="10"/>
  <c r="AF32" i="10"/>
  <c r="AH31" i="10"/>
  <c r="AF31" i="10"/>
  <c r="AH26" i="10"/>
  <c r="AF26" i="10"/>
  <c r="AH25" i="10"/>
  <c r="AF25" i="10"/>
  <c r="AH24" i="10"/>
  <c r="AF24" i="10"/>
  <c r="AH23" i="10"/>
  <c r="AF23" i="10"/>
  <c r="AH22" i="10"/>
  <c r="AF22" i="10"/>
  <c r="AD22" i="10"/>
  <c r="AH21" i="10"/>
  <c r="AF21" i="10"/>
  <c r="AH20" i="10"/>
  <c r="AF20" i="10"/>
  <c r="AH19" i="10"/>
  <c r="AF19" i="10"/>
  <c r="AH18" i="10"/>
  <c r="AF18" i="10"/>
  <c r="AD18" i="10"/>
  <c r="AH13" i="10"/>
  <c r="AF13" i="10"/>
  <c r="AH9" i="10"/>
  <c r="AF9" i="10"/>
  <c r="AH8" i="10"/>
  <c r="AF8" i="10"/>
  <c r="AH7" i="10"/>
  <c r="AF7" i="10"/>
  <c r="AH6" i="10"/>
  <c r="AF6" i="10"/>
  <c r="AH5" i="10"/>
  <c r="AF5" i="10"/>
  <c r="AA43" i="10" l="1"/>
  <c r="AA50" i="10"/>
  <c r="AA49" i="10"/>
  <c r="AA48" i="10"/>
  <c r="AA47" i="10"/>
  <c r="AA46" i="10"/>
  <c r="AA45" i="10"/>
  <c r="AA44" i="10"/>
  <c r="AA42" i="10"/>
  <c r="AA41" i="10"/>
  <c r="AA40" i="10"/>
  <c r="AA39" i="10"/>
  <c r="AA38" i="10"/>
  <c r="AA37" i="10"/>
  <c r="AA36" i="10"/>
  <c r="AA34" i="10"/>
  <c r="AA33" i="10"/>
  <c r="AA32" i="10"/>
  <c r="AA31" i="10"/>
  <c r="AA28" i="10"/>
  <c r="AA27" i="10"/>
  <c r="AA26" i="10"/>
  <c r="AA25" i="10"/>
  <c r="AA24" i="10"/>
  <c r="AA23" i="10"/>
  <c r="AA22" i="10"/>
  <c r="AA21" i="10"/>
  <c r="AA20" i="10"/>
  <c r="AA19" i="10"/>
  <c r="AA18" i="10"/>
  <c r="AA17" i="10"/>
  <c r="AA16" i="10"/>
  <c r="AA15" i="10"/>
  <c r="AA14" i="10"/>
  <c r="AA13" i="10"/>
  <c r="AA11" i="10"/>
  <c r="AA10" i="10"/>
  <c r="AA9" i="10"/>
  <c r="AA8" i="10"/>
  <c r="AA7" i="10"/>
  <c r="AA6" i="10"/>
  <c r="AA5" i="10"/>
  <c r="Z15" i="10"/>
  <c r="Z49" i="10"/>
  <c r="Z48" i="10"/>
  <c r="X49" i="10"/>
  <c r="X47" i="10"/>
  <c r="X50" i="10"/>
  <c r="X48" i="10"/>
  <c r="X46" i="10"/>
  <c r="X45" i="10"/>
  <c r="X44" i="10"/>
  <c r="X43" i="10"/>
  <c r="X42" i="10"/>
  <c r="X40" i="10"/>
  <c r="X39" i="10"/>
  <c r="X38" i="10"/>
  <c r="X37" i="10"/>
  <c r="X36" i="10"/>
  <c r="X33" i="10"/>
  <c r="X32" i="10"/>
  <c r="X31" i="10"/>
  <c r="X28" i="10"/>
  <c r="X27" i="10"/>
  <c r="X26" i="10"/>
  <c r="X25" i="10"/>
  <c r="X24" i="10"/>
  <c r="X23" i="10"/>
  <c r="X22" i="10"/>
  <c r="X21" i="10"/>
  <c r="X20" i="10"/>
  <c r="X19" i="10"/>
  <c r="X18" i="10"/>
  <c r="X17" i="10"/>
  <c r="X16" i="10"/>
  <c r="X14" i="10"/>
  <c r="X13" i="10"/>
  <c r="X11" i="10"/>
  <c r="X10" i="10"/>
  <c r="X9" i="10"/>
  <c r="X8" i="10"/>
  <c r="X7" i="10"/>
  <c r="X6" i="10"/>
  <c r="X5" i="10"/>
  <c r="X41" i="10"/>
  <c r="X34" i="10"/>
  <c r="X15" i="10"/>
  <c r="V47" i="10"/>
  <c r="V49" i="10"/>
  <c r="V50" i="10"/>
  <c r="V48" i="10"/>
  <c r="V43" i="10"/>
  <c r="V41" i="10"/>
  <c r="V40" i="10"/>
  <c r="V37" i="10"/>
  <c r="V33" i="10"/>
  <c r="V34" i="10"/>
  <c r="V28" i="10"/>
  <c r="V27" i="10"/>
  <c r="V17" i="10"/>
  <c r="V16" i="10"/>
  <c r="V15" i="10"/>
  <c r="V14" i="10" l="1"/>
  <c r="V11" i="10"/>
  <c r="V10" i="10"/>
  <c r="V8" i="10"/>
  <c r="V46" i="10"/>
  <c r="V45" i="10"/>
  <c r="V44" i="10"/>
  <c r="V42" i="10"/>
  <c r="V39" i="10"/>
  <c r="V38" i="10"/>
  <c r="V36" i="10"/>
  <c r="V32" i="10"/>
  <c r="V31" i="10"/>
  <c r="V25" i="10"/>
  <c r="V24" i="10"/>
  <c r="V22" i="10"/>
  <c r="V23" i="10"/>
  <c r="V20" i="10"/>
  <c r="V19" i="10"/>
  <c r="V18" i="10"/>
  <c r="V13" i="10"/>
  <c r="V9" i="10"/>
  <c r="V7" i="10"/>
  <c r="V6" i="10"/>
  <c r="V26" i="10"/>
  <c r="V21" i="10"/>
  <c r="V5" i="10"/>
  <c r="T11" i="10" l="1"/>
  <c r="T50" i="10"/>
  <c r="T48" i="10"/>
  <c r="T47" i="10"/>
  <c r="T46" i="10"/>
  <c r="T45" i="10"/>
  <c r="T44" i="10"/>
  <c r="T42" i="10"/>
  <c r="T39" i="10"/>
  <c r="T38" i="10"/>
  <c r="T37" i="10"/>
  <c r="T36" i="10"/>
  <c r="T34" i="10"/>
  <c r="T33" i="10"/>
  <c r="T32" i="10"/>
  <c r="T26" i="10"/>
  <c r="T25" i="10"/>
  <c r="T24" i="10"/>
  <c r="T23" i="10"/>
  <c r="T22" i="10"/>
  <c r="T21" i="10"/>
  <c r="T20" i="10"/>
  <c r="T19" i="10"/>
  <c r="T18" i="10"/>
  <c r="T16" i="10"/>
  <c r="T13" i="10"/>
  <c r="T9" i="10"/>
  <c r="T8" i="10"/>
  <c r="T7" i="10"/>
  <c r="T6" i="10"/>
  <c r="T5" i="10"/>
  <c r="DK51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Luciana Fialho</author>
  </authors>
  <commentList>
    <comment ref="DA11" authorId="0" shapeId="0" xr:uid="{1823FE08-D7A4-4C28-8128-8D7A4B5280E9}">
      <text>
        <r>
          <rPr>
            <b/>
            <sz val="9"/>
            <color indexed="81"/>
            <rFont val="Segoe UI"/>
            <family val="2"/>
          </rPr>
          <t>Luciana Fialho:</t>
        </r>
        <r>
          <rPr>
            <sz val="9"/>
            <color indexed="81"/>
            <rFont val="Segoe UI"/>
            <family val="2"/>
          </rPr>
          <t xml:space="preserve">
RESCISÃO</t>
        </r>
      </text>
    </comment>
  </commentList>
</comments>
</file>

<file path=xl/sharedStrings.xml><?xml version="1.0" encoding="utf-8"?>
<sst xmlns="http://schemas.openxmlformats.org/spreadsheetml/2006/main" count="254" uniqueCount="166">
  <si>
    <t>NOME</t>
  </si>
  <si>
    <t>CARGO</t>
  </si>
  <si>
    <t>Assistente de Diretoria</t>
  </si>
  <si>
    <t>Auxiliar Financeiro</t>
  </si>
  <si>
    <t>Analista de  Negócios</t>
  </si>
  <si>
    <t>ADMISSÃO</t>
  </si>
  <si>
    <t>Ativo</t>
  </si>
  <si>
    <t>Coordenadora Projetos</t>
  </si>
  <si>
    <t>Assistente Administrativo</t>
  </si>
  <si>
    <t>INSS FÉRIAS JAN</t>
  </si>
  <si>
    <t>STATUS</t>
  </si>
  <si>
    <t>SALÁRIO NOMINAL</t>
  </si>
  <si>
    <t>REMUNERAÇÃO NO PERÍODO</t>
  </si>
  <si>
    <t>TOTAL</t>
  </si>
  <si>
    <t>PRISCILA RODRIGUES DE SOUZA</t>
  </si>
  <si>
    <t>GIANE SANTOS</t>
  </si>
  <si>
    <t>DAVID TADEU VICENTE DA SILVA</t>
  </si>
  <si>
    <t>MICHELE APARECIDA RAMOS</t>
  </si>
  <si>
    <t>FGTS FÉRIAS JAN</t>
  </si>
  <si>
    <t>IR FÉRIAS JAN</t>
  </si>
  <si>
    <t>PIS FÉRIAS JAN</t>
  </si>
  <si>
    <t>CAIO SANTOS CORDEIRO</t>
  </si>
  <si>
    <t>FÉRIAS JAN</t>
  </si>
  <si>
    <t>FÉRIAS FEV</t>
  </si>
  <si>
    <t>FÉRIAS MAR</t>
  </si>
  <si>
    <t>LARISSA PAULA C. LEITE</t>
  </si>
  <si>
    <t>SALARIO ABRIL</t>
  </si>
  <si>
    <t>ALAN DA SILVA DIAS</t>
  </si>
  <si>
    <t>COMPRADOR JR</t>
  </si>
  <si>
    <t>ALEX BRUNO GONCALVES</t>
  </si>
  <si>
    <t>ASSIS DE LABORATORI</t>
  </si>
  <si>
    <t>ALEX GONÇALVES E SILVA SOUZA</t>
  </si>
  <si>
    <t>ANALISTA COMUNICAÇÃ</t>
  </si>
  <si>
    <t>ALEX MARIANE</t>
  </si>
  <si>
    <t>OPERADOR DE CNC</t>
  </si>
  <si>
    <t>ALEXANDRE BASTO BARROS</t>
  </si>
  <si>
    <t>COORDE GESTAO PROJE</t>
  </si>
  <si>
    <t>ANDERSON ROGERIO SOARES</t>
  </si>
  <si>
    <t>ASSIST INFRAEST III</t>
  </si>
  <si>
    <t>CARLOS VINICIUS NAVARRETE</t>
  </si>
  <si>
    <t>ANALIS GESTAO NEG J</t>
  </si>
  <si>
    <t>DOUGLAS SOUZA DA SILVA</t>
  </si>
  <si>
    <t>EDUARDO HENRIQUE BASILIO</t>
  </si>
  <si>
    <t>ANALISTA SUPORTE T.</t>
  </si>
  <si>
    <t>COORD GESTAO PROJE</t>
  </si>
  <si>
    <t>FLAVIA VAZ C.Z. DE PAIVA</t>
  </si>
  <si>
    <t>HAMILTON DOUGLAS DE SOUZA</t>
  </si>
  <si>
    <t>ANALI GEST. INOV JR</t>
  </si>
  <si>
    <t>HAMILTON LIMA MEDEIROS</t>
  </si>
  <si>
    <t>ASSIST DE FACILITIE</t>
  </si>
  <si>
    <t>HIGOR SILVA BICALHO</t>
  </si>
  <si>
    <t>TEC EM AUDIOVISUAL</t>
  </si>
  <si>
    <t>JOARIBIA JOVINO DOS SANTOS</t>
  </si>
  <si>
    <t>ANALISTA FINANCE JR</t>
  </si>
  <si>
    <t>JULLIANE CRISTINE SILVEIRA PEREIRA</t>
  </si>
  <si>
    <t>COORD DE COMUNICACA</t>
  </si>
  <si>
    <t>LAIANNE OLIVEIRA SILVA</t>
  </si>
  <si>
    <t>ASSIST INFRAESTRUT</t>
  </si>
  <si>
    <t>ANALI REL EMPRES JR</t>
  </si>
  <si>
    <t>LUCIANA BARBOSA FIALHO</t>
  </si>
  <si>
    <t>COORD FINANCEIRO</t>
  </si>
  <si>
    <t>LUIZ FERNANDO CARVALHO DE SOUZA</t>
  </si>
  <si>
    <t>COORD GESTÃO NEGOCI</t>
  </si>
  <si>
    <t>LARISSA VIEIRA F. DE OLIVEIRA</t>
  </si>
  <si>
    <t>PATRICIA ELISA DE CASTRO</t>
  </si>
  <si>
    <t>SECRETARIA</t>
  </si>
  <si>
    <t>PRISCILA CRISTINA DE MELO</t>
  </si>
  <si>
    <t>ASSESSOR JURIDICO</t>
  </si>
  <si>
    <t>PRISCILA FERNANDES BRASIL</t>
  </si>
  <si>
    <t>ANALISTA DE EVENTOS</t>
  </si>
  <si>
    <t>RUBIANE HELOISA OLIVEIRA</t>
  </si>
  <si>
    <t>COORDE LABORATORIOS</t>
  </si>
  <si>
    <t>SAMUEL DE SOUZA FARIAS</t>
  </si>
  <si>
    <t>COORD JURIDICO</t>
  </si>
  <si>
    <t>SONIA MARIA NEGREIROS CARVALHO</t>
  </si>
  <si>
    <t>COORDENADOR(A) DE R</t>
  </si>
  <si>
    <t>THAINA MATHIAS ALVES DOS SANTOS</t>
  </si>
  <si>
    <t>ASSIST. COMUNICACAO</t>
  </si>
  <si>
    <t>THALITA PIMENTA CANCAS</t>
  </si>
  <si>
    <t>ANA RELA INTERNACIO</t>
  </si>
  <si>
    <t>WELLINGTON MENDES PEREIRA</t>
  </si>
  <si>
    <t>WELLINGTON MOREIRA</t>
  </si>
  <si>
    <t>COMPRADOR</t>
  </si>
  <si>
    <t>WELLINGTON VENANCIO</t>
  </si>
  <si>
    <t>ANALISTA FINANCEIRO</t>
  </si>
  <si>
    <t>SERGIO W. VIEIRA BUANI FILHO</t>
  </si>
  <si>
    <t>ANA CAROLINA BRIGAGAO DE ABREU</t>
  </si>
  <si>
    <t>BARBARA OLIVEIRA ROCHA</t>
  </si>
  <si>
    <t>ESTAGIARIA</t>
  </si>
  <si>
    <t>CLAUDIO DA SILVA CORREA</t>
  </si>
  <si>
    <t>COORD INFRAESTRUTUR</t>
  </si>
  <si>
    <t>LAURA DOMINGOS GALANT</t>
  </si>
  <si>
    <t>ESTAGIARIO(A)</t>
  </si>
  <si>
    <t>LEONARDO CORREA DE SA</t>
  </si>
  <si>
    <t>LETICIA DE FATIMA SENRA</t>
  </si>
  <si>
    <t>MARCELO NUNES DA SILVA</t>
  </si>
  <si>
    <t>COORD EXECUTIVO</t>
  </si>
  <si>
    <t>MEIREANE SAMANTA BUENO</t>
  </si>
  <si>
    <t>COOR EXE DEN NEG IN</t>
  </si>
  <si>
    <t>RODRIGO O. BERTONCINI MENDES</t>
  </si>
  <si>
    <t>FÉRIAS ABR</t>
  </si>
  <si>
    <t>INSS FÉRIAS MAR</t>
  </si>
  <si>
    <t>FGTS FÉRIAS MAR</t>
  </si>
  <si>
    <t>IR FÉRIAS MAR</t>
  </si>
  <si>
    <t>PIS FÉRIAS MAR</t>
  </si>
  <si>
    <t>SALARIO MAIO</t>
  </si>
  <si>
    <t>FÉRIAS MAI</t>
  </si>
  <si>
    <t>INSS FÉRIAS ABR</t>
  </si>
  <si>
    <t>FGTS FÉRIAS ABR</t>
  </si>
  <si>
    <t>inss fopag</t>
  </si>
  <si>
    <t>fgts fopag</t>
  </si>
  <si>
    <t>IR FÉRIAS/FOPAG ABR</t>
  </si>
  <si>
    <t>PIS FOPAG/FÉRIAS ABR</t>
  </si>
  <si>
    <t>SICOOB</t>
  </si>
  <si>
    <t>UNIODONTO</t>
  </si>
  <si>
    <t>SALARIO JUNHO</t>
  </si>
  <si>
    <t>FÉRIAS JUN</t>
  </si>
  <si>
    <t>FGTS FÉRIAS MAI</t>
  </si>
  <si>
    <t>INSS FÉRIAS MAI</t>
  </si>
  <si>
    <t>IR FÉRIAS/FOPAG MAI</t>
  </si>
  <si>
    <t>Desligado</t>
  </si>
  <si>
    <t>SALARIO JULHO</t>
  </si>
  <si>
    <t>FÉRIAS JUL</t>
  </si>
  <si>
    <t>INSS FÉRIAS jun</t>
  </si>
  <si>
    <t>FGTS FÉRIAS jun</t>
  </si>
  <si>
    <t>IR FÉRIAS/FOPAG jun</t>
  </si>
  <si>
    <t>PIS FOPAG/FÉRIAS jun</t>
  </si>
  <si>
    <t>SALARIO AGOSTO</t>
  </si>
  <si>
    <t>FÉRIAS AGO</t>
  </si>
  <si>
    <t>INSS FÉRIAS Jul</t>
  </si>
  <si>
    <t>FGTS FÉRIAS jul</t>
  </si>
  <si>
    <t>IR FÉRIAS/FOPAG jul</t>
  </si>
  <si>
    <t>PIS FOPAG/FÉRIAS jul</t>
  </si>
  <si>
    <t>SALARIO SETEMBRO</t>
  </si>
  <si>
    <t>FÉRIAS SET</t>
  </si>
  <si>
    <t>INSS FÉRIAS AGO</t>
  </si>
  <si>
    <t>FGTS FÉRIAS AGO</t>
  </si>
  <si>
    <t>IR FÉRIAS/FOPAG AGO</t>
  </si>
  <si>
    <t>PIS FOPAG/FÉRIAS AGO</t>
  </si>
  <si>
    <t>SALARIO OUTUBRO</t>
  </si>
  <si>
    <t>FÉRIAS OUT</t>
  </si>
  <si>
    <t>INSS FÉRIAS OUT</t>
  </si>
  <si>
    <t>FGTS FÉRIAS OUT</t>
  </si>
  <si>
    <t>IR FÉRIAS/FOPAG OUT</t>
  </si>
  <si>
    <t>PIS FOPAG/FÉRIAS OUT</t>
  </si>
  <si>
    <t>SALARIO NOVEMBRO</t>
  </si>
  <si>
    <t>FÉRIAS NOV</t>
  </si>
  <si>
    <t>INSS FÉRIAS NOV</t>
  </si>
  <si>
    <t>FGTS FÉRIAS NOV</t>
  </si>
  <si>
    <t>IR FÉRIAS/FOPAG NOV</t>
  </si>
  <si>
    <t>PIS FOPAG/FÉRIAS NOV</t>
  </si>
  <si>
    <t>13º SALARIO</t>
  </si>
  <si>
    <t>ANAL REL EMPRESAR JR.</t>
  </si>
  <si>
    <t>ANAL. GESTAO NEG.</t>
  </si>
  <si>
    <t>ANAL. GESTAO NEG. JR.</t>
  </si>
  <si>
    <t>SALARIO DEZEMBRO</t>
  </si>
  <si>
    <t>FÉRIAS DEZ</t>
  </si>
  <si>
    <t>INSS FÉRIAS DEZ</t>
  </si>
  <si>
    <t>IR FÉRIAS/FOPAG DEZ</t>
  </si>
  <si>
    <t>PIS FOPAG/FÉRIAS DEZ</t>
  </si>
  <si>
    <t>INSS 13º</t>
  </si>
  <si>
    <t>FGTS FÉRIAS E 13º DEZ</t>
  </si>
  <si>
    <t xml:space="preserve">              ASSOCIAÇÃO PARQUE TECNOLÓGICO DE SÃO JOSÉ DOS CAMPOS
              RELAÇÃO DOS EMPREGADOS ADMITIDOS E MANTIDOS 
                    COM RECURSOS PÚBLICOS ADMINISTRADOS PELA ORGANIZAÇÃO SOCIAL
      CONTRATO DE GESTÃO Nº 135/2017 (JANEIRO/2021)</t>
  </si>
  <si>
    <t>SALARIO JANEIRO</t>
  </si>
  <si>
    <t>IR 13º</t>
  </si>
  <si>
    <t>PIS 13º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</si>
</sst>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43" fontId="7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0" applyFont="1"/>
    <xf numFmtId="14" fontId="6" fillId="0" borderId="1" xfId="0" applyNumberFormat="1" applyFont="1" applyBorder="1" applyAlignment="1">
      <alignment horizontal="center" vertical="center" wrapText="1"/>
    </xf>
    <xf numFmtId="43" fontId="0" fillId="0" borderId="0" xfId="2" applyFont="1"/>
    <xf numFmtId="0" fontId="4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43" fontId="0" fillId="0" borderId="4" xfId="2" applyFont="1" applyBorder="1"/>
    <xf numFmtId="43" fontId="0" fillId="2" borderId="0" xfId="2" applyFont="1" applyFill="1"/>
    <xf numFmtId="4" fontId="5" fillId="0" borderId="9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0" fontId="4" fillId="0" borderId="1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43" fontId="0" fillId="0" borderId="0" xfId="2" applyFont="1" applyFill="1"/>
    <xf numFmtId="43" fontId="0" fillId="3" borderId="0" xfId="2" applyFont="1" applyFill="1"/>
    <xf numFmtId="43" fontId="0" fillId="4" borderId="0" xfId="2" applyFont="1" applyFill="1"/>
    <xf numFmtId="0" fontId="3" fillId="0" borderId="8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3" borderId="0" xfId="0" applyFill="1"/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3" fontId="0" fillId="0" borderId="1" xfId="2" applyFont="1" applyBorder="1" applyAlignment="1">
      <alignment horizontal="center" vertical="center"/>
    </xf>
    <xf numFmtId="43" fontId="0" fillId="0" borderId="0" xfId="2" applyFont="1" applyAlignment="1">
      <alignment horizontal="center"/>
    </xf>
  </cellXfs>
  <cellStyles count="6">
    <cellStyle name="Normal" xfId="0" builtinId="0"/>
    <cellStyle name="Normal 2" xfId="1" xr:uid="{00000000-0005-0000-0000-000001000000}"/>
    <cellStyle name="Normal 3" xfId="4" xr:uid="{00000000-0005-0000-0000-000030000000}"/>
    <cellStyle name="Vírgula" xfId="2" builtinId="3"/>
    <cellStyle name="Vírgula 2" xfId="3" xr:uid="{00000000-0005-0000-0000-000031000000}"/>
    <cellStyle name="Vírgula 3" xfId="5" xr:uid="{287CC6D1-0A4D-4493-B4D1-A0019CBDCAC7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28574</xdr:rowOff>
    </xdr:from>
    <xdr:to>
      <xdr:col>1</xdr:col>
      <xdr:colOff>1323975</xdr:colOff>
      <xdr:row>0</xdr:row>
      <xdr:rowOff>1066799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3B74EA0-F3AC-438C-9F1D-5750EB599E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4"/>
          <a:ext cx="13239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F30FA-1D79-47B4-B2D5-0EACD9A48F99}">
  <sheetPr filterMode="1">
    <pageSetUpPr fitToPage="1"/>
  </sheetPr>
  <dimension ref="A1:DK51"/>
  <sheetViews>
    <sheetView showGridLines="0" tabSelected="1" topLeftCell="B1" zoomScale="98" zoomScaleNormal="98" workbookViewId="0">
      <pane xSplit="4" ySplit="4" topLeftCell="CX40" activePane="bottomRight" state="frozen"/>
      <selection activeCell="B1" sqref="B1"/>
      <selection pane="topRight" activeCell="F1" sqref="F1"/>
      <selection pane="bottomLeft" activeCell="B5" sqref="B5"/>
      <selection pane="bottomRight" activeCell="DK4" activeCellId="1" sqref="B4:B50 DK4:DK50"/>
    </sheetView>
  </sheetViews>
  <sheetFormatPr defaultRowHeight="15" x14ac:dyDescent="0.25"/>
  <cols>
    <col min="1" max="1" width="2.7109375" style="1" hidden="1" customWidth="1"/>
    <col min="2" max="2" width="30.5703125" customWidth="1"/>
    <col min="3" max="3" width="22.7109375" customWidth="1"/>
    <col min="4" max="4" width="10.7109375" bestFit="1" customWidth="1"/>
    <col min="5" max="5" width="11.28515625" bestFit="1" customWidth="1"/>
    <col min="6" max="6" width="14.5703125" hidden="1" customWidth="1"/>
    <col min="7" max="7" width="19.140625" hidden="1" customWidth="1"/>
    <col min="8" max="8" width="19.5703125" hidden="1" customWidth="1"/>
    <col min="9" max="9" width="16.85546875" hidden="1" customWidth="1"/>
    <col min="10" max="10" width="17.85546875" hidden="1" customWidth="1"/>
    <col min="11" max="11" width="14.42578125" hidden="1" customWidth="1"/>
    <col min="12" max="12" width="15.42578125" hidden="1" customWidth="1"/>
    <col min="13" max="13" width="19.5703125" hidden="1" customWidth="1"/>
    <col min="14" max="14" width="17.85546875" hidden="1" customWidth="1"/>
    <col min="15" max="15" width="14.7109375" hidden="1" customWidth="1"/>
    <col min="16" max="16" width="20" hidden="1" customWidth="1"/>
    <col min="17" max="17" width="20.28515625" hidden="1" customWidth="1"/>
    <col min="18" max="18" width="17.5703125" hidden="1" customWidth="1"/>
    <col min="19" max="19" width="18.5703125" hidden="1" customWidth="1"/>
    <col min="20" max="20" width="17.85546875" hidden="1" customWidth="1"/>
    <col min="21" max="21" width="14.7109375" hidden="1" customWidth="1"/>
    <col min="22" max="22" width="13.5703125" hidden="1" customWidth="1"/>
    <col min="23" max="23" width="19.28515625" hidden="1" customWidth="1"/>
    <col min="24" max="24" width="13.42578125" hidden="1" customWidth="1"/>
    <col min="25" max="25" width="19.7109375" hidden="1" customWidth="1"/>
    <col min="26" max="26" width="24.28515625" hidden="1" customWidth="1"/>
    <col min="27" max="27" width="25.28515625" hidden="1" customWidth="1"/>
    <col min="28" max="28" width="11.42578125" hidden="1" customWidth="1"/>
    <col min="29" max="29" width="16.140625" hidden="1" customWidth="1"/>
    <col min="30" max="30" width="19" hidden="1" customWidth="1"/>
    <col min="31" max="31" width="14.5703125" hidden="1" customWidth="1"/>
    <col min="32" max="32" width="13.5703125" hidden="1" customWidth="1"/>
    <col min="33" max="33" width="19.28515625" hidden="1" customWidth="1"/>
    <col min="34" max="34" width="13.42578125" hidden="1" customWidth="1"/>
    <col min="35" max="35" width="19.7109375" hidden="1" customWidth="1"/>
    <col min="36" max="36" width="24.28515625" hidden="1" customWidth="1"/>
    <col min="37" max="37" width="25.28515625" hidden="1" customWidth="1"/>
    <col min="38" max="38" width="11.42578125" hidden="1" customWidth="1"/>
    <col min="39" max="39" width="16.140625" hidden="1" customWidth="1"/>
    <col min="40" max="40" width="18.42578125" hidden="1" customWidth="1"/>
    <col min="41" max="41" width="14" hidden="1" customWidth="1"/>
    <col min="42" max="42" width="13.5703125" hidden="1" customWidth="1"/>
    <col min="43" max="43" width="18.5703125" hidden="1" customWidth="1"/>
    <col min="44" max="44" width="13.42578125" hidden="1" customWidth="1"/>
    <col min="45" max="45" width="18.85546875" hidden="1" customWidth="1"/>
    <col min="46" max="46" width="23.42578125" hidden="1" customWidth="1"/>
    <col min="47" max="47" width="24.5703125" hidden="1" customWidth="1"/>
    <col min="48" max="48" width="11.42578125" hidden="1" customWidth="1"/>
    <col min="49" max="49" width="16.140625" hidden="1" customWidth="1"/>
    <col min="50" max="50" width="20.42578125" hidden="1" customWidth="1"/>
    <col min="51" max="51" width="15.140625" hidden="1" customWidth="1"/>
    <col min="52" max="52" width="13.5703125" hidden="1" customWidth="1"/>
    <col min="53" max="53" width="18.140625" hidden="1" customWidth="1"/>
    <col min="54" max="54" width="13.42578125" hidden="1" customWidth="1"/>
    <col min="55" max="55" width="18.28515625" hidden="1" customWidth="1"/>
    <col min="56" max="56" width="22.85546875" hidden="1" customWidth="1"/>
    <col min="57" max="57" width="24" hidden="1" customWidth="1"/>
    <col min="58" max="58" width="11.42578125" hidden="1" customWidth="1"/>
    <col min="59" max="59" width="16.140625" hidden="1" customWidth="1"/>
    <col min="60" max="60" width="22.42578125" hidden="1" customWidth="1"/>
    <col min="61" max="61" width="14.140625" hidden="1" customWidth="1"/>
    <col min="62" max="62" width="13.5703125" hidden="1" customWidth="1"/>
    <col min="63" max="63" width="19.85546875" hidden="1" customWidth="1"/>
    <col min="64" max="64" width="13.42578125" hidden="1" customWidth="1"/>
    <col min="65" max="65" width="20.140625" hidden="1" customWidth="1"/>
    <col min="66" max="66" width="24.7109375" hidden="1" customWidth="1"/>
    <col min="67" max="67" width="25.7109375" hidden="1" customWidth="1"/>
    <col min="68" max="68" width="11.42578125" hidden="1" customWidth="1"/>
    <col min="69" max="69" width="16.140625" hidden="1" customWidth="1"/>
    <col min="70" max="70" width="21.7109375" hidden="1" customWidth="1"/>
    <col min="71" max="71" width="14.85546875" hidden="1" customWidth="1"/>
    <col min="72" max="72" width="13.5703125" hidden="1" customWidth="1"/>
    <col min="73" max="73" width="19.5703125" hidden="1" customWidth="1"/>
    <col min="74" max="74" width="13.42578125" hidden="1" customWidth="1"/>
    <col min="75" max="75" width="19.85546875" hidden="1" customWidth="1"/>
    <col min="76" max="76" width="24.42578125" hidden="1" customWidth="1"/>
    <col min="77" max="77" width="25.42578125" hidden="1" customWidth="1"/>
    <col min="78" max="78" width="11.42578125" hidden="1" customWidth="1"/>
    <col min="79" max="79" width="16.140625" hidden="1" customWidth="1"/>
    <col min="80" max="80" width="23.7109375" hidden="1" customWidth="1"/>
    <col min="81" max="81" width="15.7109375" hidden="1" customWidth="1"/>
    <col min="82" max="82" width="15.42578125" hidden="1" customWidth="1"/>
    <col min="83" max="83" width="13.5703125" hidden="1" customWidth="1"/>
    <col min="84" max="84" width="20" hidden="1" customWidth="1"/>
    <col min="85" max="85" width="13.42578125" hidden="1" customWidth="1"/>
    <col min="86" max="86" width="20.28515625" hidden="1" customWidth="1"/>
    <col min="87" max="87" width="24.85546875" hidden="1" customWidth="1"/>
    <col min="88" max="88" width="25.85546875" hidden="1" customWidth="1"/>
    <col min="89" max="89" width="11.42578125" hidden="1" customWidth="1"/>
    <col min="90" max="90" width="16.140625" hidden="1" customWidth="1"/>
    <col min="91" max="91" width="22.7109375" hidden="1" customWidth="1"/>
    <col min="92" max="92" width="12" hidden="1" customWidth="1"/>
    <col min="93" max="93" width="14.42578125" hidden="1" customWidth="1"/>
    <col min="94" max="94" width="13.5703125" hidden="1" customWidth="1"/>
    <col min="95" max="95" width="19" hidden="1" customWidth="1"/>
    <col min="96" max="96" width="13.42578125" hidden="1" customWidth="1"/>
    <col min="97" max="97" width="24.28515625" hidden="1" customWidth="1"/>
    <col min="98" max="98" width="24" hidden="1" customWidth="1"/>
    <col min="99" max="99" width="25" hidden="1" customWidth="1"/>
    <col min="100" max="100" width="11.42578125" hidden="1" customWidth="1"/>
    <col min="101" max="101" width="16.140625" hidden="1" customWidth="1"/>
    <col min="102" max="102" width="22.7109375" hidden="1" customWidth="1"/>
    <col min="103" max="104" width="12" hidden="1" customWidth="1"/>
    <col min="105" max="105" width="14.42578125" hidden="1" customWidth="1"/>
    <col min="106" max="106" width="13.5703125" hidden="1" customWidth="1"/>
    <col min="107" max="107" width="19" hidden="1" customWidth="1"/>
    <col min="108" max="108" width="13.42578125" hidden="1" customWidth="1"/>
    <col min="109" max="109" width="24.28515625" hidden="1" customWidth="1"/>
    <col min="110" max="110" width="24" hidden="1" customWidth="1"/>
    <col min="111" max="111" width="25" hidden="1" customWidth="1"/>
    <col min="112" max="112" width="11.42578125" hidden="1" customWidth="1"/>
    <col min="113" max="113" width="16.140625" hidden="1" customWidth="1"/>
    <col min="114" max="114" width="13.42578125" style="3" bestFit="1" customWidth="1"/>
    <col min="115" max="115" width="15.28515625" bestFit="1" customWidth="1"/>
  </cols>
  <sheetData>
    <row r="1" spans="1:115" ht="95.25" customHeight="1" thickBot="1" x14ac:dyDescent="0.3">
      <c r="A1" s="25" t="s">
        <v>162</v>
      </c>
      <c r="B1" s="26"/>
      <c r="C1" s="26"/>
      <c r="D1" s="26"/>
      <c r="E1" s="26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6"/>
      <c r="DK1" s="28"/>
    </row>
    <row r="2" spans="1:115" s="15" customFormat="1" ht="28.5" customHeight="1" x14ac:dyDescent="0.25">
      <c r="A2" s="13"/>
      <c r="B2" s="13"/>
      <c r="C2" s="13"/>
      <c r="D2" s="13"/>
      <c r="E2" s="13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>
        <v>0.01</v>
      </c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>
        <v>0.01</v>
      </c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3"/>
      <c r="DK2" s="13"/>
    </row>
    <row r="3" spans="1:115" s="15" customFormat="1" ht="30" customHeight="1" thickBot="1" x14ac:dyDescent="0.3">
      <c r="A3" s="13"/>
      <c r="B3" s="13"/>
      <c r="C3" s="13"/>
      <c r="D3" s="13"/>
      <c r="E3" s="13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>
        <v>0.01</v>
      </c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>
        <v>0.01</v>
      </c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>
        <v>0.01</v>
      </c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>
        <v>0.01</v>
      </c>
      <c r="DC3" s="14"/>
      <c r="DD3" s="14"/>
      <c r="DE3" s="14"/>
      <c r="DF3" s="14"/>
      <c r="DG3" s="14"/>
      <c r="DH3" s="14"/>
      <c r="DI3" s="14"/>
      <c r="DJ3" s="14"/>
      <c r="DK3" s="13"/>
    </row>
    <row r="4" spans="1:115" ht="26.25" thickBot="1" x14ac:dyDescent="0.3">
      <c r="A4" s="16"/>
      <c r="B4" s="17" t="s">
        <v>0</v>
      </c>
      <c r="C4" s="5" t="s">
        <v>1</v>
      </c>
      <c r="D4" s="5" t="s">
        <v>5</v>
      </c>
      <c r="E4" s="5" t="s">
        <v>10</v>
      </c>
      <c r="F4" s="10" t="s">
        <v>22</v>
      </c>
      <c r="G4" s="10" t="s">
        <v>9</v>
      </c>
      <c r="H4" s="10" t="s">
        <v>18</v>
      </c>
      <c r="I4" s="10" t="s">
        <v>19</v>
      </c>
      <c r="J4" s="10" t="s">
        <v>20</v>
      </c>
      <c r="K4" s="10" t="s">
        <v>23</v>
      </c>
      <c r="L4" s="10" t="s">
        <v>24</v>
      </c>
      <c r="M4" s="10" t="s">
        <v>18</v>
      </c>
      <c r="N4" s="10" t="s">
        <v>26</v>
      </c>
      <c r="O4" s="10" t="s">
        <v>100</v>
      </c>
      <c r="P4" s="10" t="s">
        <v>101</v>
      </c>
      <c r="Q4" s="10" t="s">
        <v>102</v>
      </c>
      <c r="R4" s="10" t="s">
        <v>103</v>
      </c>
      <c r="S4" s="10" t="s">
        <v>104</v>
      </c>
      <c r="T4" s="10" t="s">
        <v>105</v>
      </c>
      <c r="U4" s="10" t="s">
        <v>106</v>
      </c>
      <c r="V4" s="10" t="s">
        <v>109</v>
      </c>
      <c r="W4" s="10" t="s">
        <v>107</v>
      </c>
      <c r="X4" s="10" t="s">
        <v>110</v>
      </c>
      <c r="Y4" s="10" t="s">
        <v>108</v>
      </c>
      <c r="Z4" s="10" t="s">
        <v>111</v>
      </c>
      <c r="AA4" s="10" t="s">
        <v>112</v>
      </c>
      <c r="AB4" s="10" t="s">
        <v>113</v>
      </c>
      <c r="AC4" s="10" t="s">
        <v>114</v>
      </c>
      <c r="AD4" s="10" t="s">
        <v>115</v>
      </c>
      <c r="AE4" s="10" t="s">
        <v>116</v>
      </c>
      <c r="AF4" s="10" t="s">
        <v>109</v>
      </c>
      <c r="AG4" s="10" t="s">
        <v>118</v>
      </c>
      <c r="AH4" s="10" t="s">
        <v>110</v>
      </c>
      <c r="AI4" s="10" t="s">
        <v>117</v>
      </c>
      <c r="AJ4" s="10" t="s">
        <v>119</v>
      </c>
      <c r="AK4" s="10" t="s">
        <v>112</v>
      </c>
      <c r="AL4" s="10" t="s">
        <v>113</v>
      </c>
      <c r="AM4" s="10" t="s">
        <v>114</v>
      </c>
      <c r="AN4" s="10" t="s">
        <v>121</v>
      </c>
      <c r="AO4" s="10" t="s">
        <v>122</v>
      </c>
      <c r="AP4" s="10" t="s">
        <v>109</v>
      </c>
      <c r="AQ4" s="10" t="s">
        <v>123</v>
      </c>
      <c r="AR4" s="10" t="s">
        <v>110</v>
      </c>
      <c r="AS4" s="10" t="s">
        <v>124</v>
      </c>
      <c r="AT4" s="10" t="s">
        <v>125</v>
      </c>
      <c r="AU4" s="10" t="s">
        <v>126</v>
      </c>
      <c r="AV4" s="10" t="s">
        <v>113</v>
      </c>
      <c r="AW4" s="10" t="s">
        <v>114</v>
      </c>
      <c r="AX4" s="10" t="s">
        <v>127</v>
      </c>
      <c r="AY4" s="10" t="s">
        <v>128</v>
      </c>
      <c r="AZ4" s="10" t="s">
        <v>109</v>
      </c>
      <c r="BA4" s="10" t="s">
        <v>129</v>
      </c>
      <c r="BB4" s="10" t="s">
        <v>110</v>
      </c>
      <c r="BC4" s="10" t="s">
        <v>130</v>
      </c>
      <c r="BD4" s="10" t="s">
        <v>131</v>
      </c>
      <c r="BE4" s="10" t="s">
        <v>132</v>
      </c>
      <c r="BF4" s="10" t="s">
        <v>113</v>
      </c>
      <c r="BG4" s="10" t="s">
        <v>114</v>
      </c>
      <c r="BH4" s="10" t="s">
        <v>133</v>
      </c>
      <c r="BI4" s="10" t="s">
        <v>134</v>
      </c>
      <c r="BJ4" s="10" t="s">
        <v>109</v>
      </c>
      <c r="BK4" s="10" t="s">
        <v>135</v>
      </c>
      <c r="BL4" s="10" t="s">
        <v>110</v>
      </c>
      <c r="BM4" s="10" t="s">
        <v>136</v>
      </c>
      <c r="BN4" s="10" t="s">
        <v>137</v>
      </c>
      <c r="BO4" s="10" t="s">
        <v>138</v>
      </c>
      <c r="BP4" s="10" t="s">
        <v>113</v>
      </c>
      <c r="BQ4" s="10" t="s">
        <v>114</v>
      </c>
      <c r="BR4" s="10" t="s">
        <v>139</v>
      </c>
      <c r="BS4" s="10" t="s">
        <v>140</v>
      </c>
      <c r="BT4" s="10" t="s">
        <v>109</v>
      </c>
      <c r="BU4" s="10" t="s">
        <v>141</v>
      </c>
      <c r="BV4" s="10" t="s">
        <v>110</v>
      </c>
      <c r="BW4" s="10" t="s">
        <v>142</v>
      </c>
      <c r="BX4" s="10" t="s">
        <v>143</v>
      </c>
      <c r="BY4" s="10" t="s">
        <v>144</v>
      </c>
      <c r="BZ4" s="10" t="s">
        <v>113</v>
      </c>
      <c r="CA4" s="10" t="s">
        <v>114</v>
      </c>
      <c r="CB4" s="10" t="s">
        <v>145</v>
      </c>
      <c r="CC4" s="10" t="s">
        <v>151</v>
      </c>
      <c r="CD4" s="10" t="s">
        <v>146</v>
      </c>
      <c r="CE4" s="10" t="s">
        <v>109</v>
      </c>
      <c r="CF4" s="10" t="s">
        <v>147</v>
      </c>
      <c r="CG4" s="10" t="s">
        <v>110</v>
      </c>
      <c r="CH4" s="10" t="s">
        <v>148</v>
      </c>
      <c r="CI4" s="10" t="s">
        <v>149</v>
      </c>
      <c r="CJ4" s="10" t="s">
        <v>150</v>
      </c>
      <c r="CK4" s="10" t="s">
        <v>113</v>
      </c>
      <c r="CL4" s="10" t="s">
        <v>114</v>
      </c>
      <c r="CM4" s="10" t="s">
        <v>155</v>
      </c>
      <c r="CN4" s="10" t="s">
        <v>160</v>
      </c>
      <c r="CO4" s="10" t="s">
        <v>156</v>
      </c>
      <c r="CP4" s="10" t="s">
        <v>109</v>
      </c>
      <c r="CQ4" s="10" t="s">
        <v>157</v>
      </c>
      <c r="CR4" s="10" t="s">
        <v>110</v>
      </c>
      <c r="CS4" s="10" t="s">
        <v>161</v>
      </c>
      <c r="CT4" s="10" t="s">
        <v>158</v>
      </c>
      <c r="CU4" s="10" t="s">
        <v>159</v>
      </c>
      <c r="CV4" s="10" t="s">
        <v>113</v>
      </c>
      <c r="CW4" s="10" t="s">
        <v>114</v>
      </c>
      <c r="CX4" s="10" t="s">
        <v>163</v>
      </c>
      <c r="CY4" s="10" t="s">
        <v>164</v>
      </c>
      <c r="CZ4" s="10" t="s">
        <v>165</v>
      </c>
      <c r="DA4" s="10" t="s">
        <v>156</v>
      </c>
      <c r="DB4" s="10" t="s">
        <v>109</v>
      </c>
      <c r="DC4" s="10" t="s">
        <v>157</v>
      </c>
      <c r="DD4" s="10" t="s">
        <v>110</v>
      </c>
      <c r="DE4" s="10" t="s">
        <v>161</v>
      </c>
      <c r="DF4" s="10" t="s">
        <v>158</v>
      </c>
      <c r="DG4" s="10" t="s">
        <v>159</v>
      </c>
      <c r="DH4" s="10" t="s">
        <v>113</v>
      </c>
      <c r="DI4" s="10" t="s">
        <v>114</v>
      </c>
      <c r="DJ4" s="21" t="s">
        <v>11</v>
      </c>
      <c r="DK4" s="6" t="s">
        <v>12</v>
      </c>
    </row>
    <row r="5" spans="1:115" x14ac:dyDescent="0.25">
      <c r="A5" s="4">
        <v>1</v>
      </c>
      <c r="B5" s="9" t="s">
        <v>27</v>
      </c>
      <c r="C5" s="9" t="s">
        <v>28</v>
      </c>
      <c r="D5" s="8">
        <v>43010</v>
      </c>
      <c r="E5" s="2" t="s">
        <v>6</v>
      </c>
      <c r="F5" s="3"/>
      <c r="G5" s="3"/>
      <c r="H5" s="18"/>
      <c r="I5" s="3"/>
      <c r="J5" s="3"/>
      <c r="K5" s="18"/>
      <c r="L5" s="18"/>
      <c r="M5" s="18"/>
      <c r="N5" s="18">
        <v>2865.65</v>
      </c>
      <c r="O5" s="18"/>
      <c r="P5" s="18"/>
      <c r="Q5" s="18"/>
      <c r="R5" s="18"/>
      <c r="S5" s="18"/>
      <c r="T5" s="18">
        <f>1339.5+1526.15</f>
        <v>2865.65</v>
      </c>
      <c r="U5" s="18"/>
      <c r="V5" s="18">
        <f>327.75+(3348.74*24.75%)</f>
        <v>1156.56315</v>
      </c>
      <c r="W5" s="18"/>
      <c r="X5" s="18">
        <f>(3348.74*8%)</f>
        <v>267.89920000000001</v>
      </c>
      <c r="Y5" s="18"/>
      <c r="Z5" s="18">
        <v>55.34</v>
      </c>
      <c r="AA5" s="18">
        <f t="shared" ref="AA5" si="0">(3348.74*1%)</f>
        <v>33.487400000000001</v>
      </c>
      <c r="AB5" s="18">
        <v>100</v>
      </c>
      <c r="AC5" s="18"/>
      <c r="AD5" s="18">
        <v>2505.4499999999998</v>
      </c>
      <c r="AE5" s="18"/>
      <c r="AF5" s="18">
        <f>327.75+(3348.74*24.75%)</f>
        <v>1156.56315</v>
      </c>
      <c r="AG5" s="18"/>
      <c r="AH5" s="18">
        <f>(3348.74*8%)</f>
        <v>267.89920000000001</v>
      </c>
      <c r="AI5" s="18"/>
      <c r="AJ5" s="18">
        <v>55.34</v>
      </c>
      <c r="AK5" s="18">
        <f>(3348.74*1%)</f>
        <v>33.487400000000001</v>
      </c>
      <c r="AL5" s="18">
        <v>100</v>
      </c>
      <c r="AM5" s="18"/>
      <c r="AN5" s="18">
        <f>1339.5+772</f>
        <v>2111.5</v>
      </c>
      <c r="AO5" s="19">
        <v>2770.04</v>
      </c>
      <c r="AP5" s="18">
        <f>327.75+(3348.74*24.75%)</f>
        <v>1156.56315</v>
      </c>
      <c r="AQ5" s="19"/>
      <c r="AR5" s="18">
        <f>(3348.74*8%)</f>
        <v>267.89920000000001</v>
      </c>
      <c r="AS5" s="19"/>
      <c r="AT5" s="18">
        <v>55.34</v>
      </c>
      <c r="AU5" s="18">
        <f>(3348.74*1%)</f>
        <v>33.487400000000001</v>
      </c>
      <c r="AV5" s="18">
        <v>460.2</v>
      </c>
      <c r="AW5" s="18"/>
      <c r="AX5" s="18">
        <v>977.59</v>
      </c>
      <c r="AY5" s="18"/>
      <c r="AZ5" s="19">
        <f>418.78+(3013.87*25.5%)</f>
        <v>1187.3168499999999</v>
      </c>
      <c r="BA5" s="19">
        <v>691.91</v>
      </c>
      <c r="BB5" s="19">
        <f>(3013.87*8%)</f>
        <v>241.1096</v>
      </c>
      <c r="BC5" s="19">
        <v>158.75</v>
      </c>
      <c r="BD5" s="19">
        <f>20.73+23.39</f>
        <v>44.120000000000005</v>
      </c>
      <c r="BE5" s="19">
        <f>(3013.87*1%)+22.32</f>
        <v>52.4587</v>
      </c>
      <c r="BF5" s="18">
        <v>460.2</v>
      </c>
      <c r="BG5" s="18"/>
      <c r="BH5" s="18">
        <f>1339.5+1288.49</f>
        <v>2627.99</v>
      </c>
      <c r="BI5" s="18"/>
      <c r="BJ5" s="19">
        <f>124.96+(1562.75*25.5%)</f>
        <v>523.46125000000006</v>
      </c>
      <c r="BK5" s="18"/>
      <c r="BL5" s="19">
        <f>(1562.75*8%)</f>
        <v>125.02</v>
      </c>
      <c r="BM5" s="18"/>
      <c r="BN5" s="18"/>
      <c r="BO5" s="19">
        <f>(1562.75*1%)</f>
        <v>15.6275</v>
      </c>
      <c r="BP5" s="18">
        <v>460.2</v>
      </c>
      <c r="BQ5" s="18"/>
      <c r="BR5" s="18">
        <f>1370.3+1245.74</f>
        <v>2616.04</v>
      </c>
      <c r="BS5" s="18"/>
      <c r="BT5" s="18">
        <f>349.32+(3502.78*25.5%)</f>
        <v>1242.5289</v>
      </c>
      <c r="BU5" s="18"/>
      <c r="BV5" s="18">
        <f>(3502.78*8%)</f>
        <v>280.22240000000005</v>
      </c>
      <c r="BW5" s="18"/>
      <c r="BX5" s="18">
        <v>65.27</v>
      </c>
      <c r="BY5" s="18">
        <f>(3502.78*1%)</f>
        <v>35.027800000000006</v>
      </c>
      <c r="BZ5" s="18">
        <v>460.2</v>
      </c>
      <c r="CA5" s="18"/>
      <c r="CB5" s="18">
        <f>1370.3+1290.48</f>
        <v>2660.7799999999997</v>
      </c>
      <c r="CC5" s="18">
        <v>1801.4675000000002</v>
      </c>
      <c r="CD5" s="18"/>
      <c r="CE5" s="18">
        <f>347.22+(3487.76*25.5%)</f>
        <v>1236.5988000000002</v>
      </c>
      <c r="CF5" s="18"/>
      <c r="CG5" s="18">
        <f>(3487.76*8%)</f>
        <v>279.02080000000001</v>
      </c>
      <c r="CH5" s="18"/>
      <c r="CI5" s="18">
        <v>64.3</v>
      </c>
      <c r="CJ5" s="18">
        <f>(3487.76*1%)</f>
        <v>34.877600000000001</v>
      </c>
      <c r="CK5" s="18">
        <v>460.2</v>
      </c>
      <c r="CL5" s="18"/>
      <c r="CM5" s="18">
        <v>2628.0200000000004</v>
      </c>
      <c r="CN5" s="18">
        <v>724.81000000000006</v>
      </c>
      <c r="CO5" s="18"/>
      <c r="CP5" s="18">
        <v>1258.82</v>
      </c>
      <c r="CQ5" s="18"/>
      <c r="CR5" s="18">
        <v>283.52</v>
      </c>
      <c r="CS5" s="18">
        <v>163.46</v>
      </c>
      <c r="CT5" s="18">
        <v>67.930000000000007</v>
      </c>
      <c r="CU5" s="18">
        <v>35.44</v>
      </c>
      <c r="CV5" s="18">
        <v>460.2</v>
      </c>
      <c r="CW5" s="18"/>
      <c r="CX5" s="18">
        <v>2635.1</v>
      </c>
      <c r="CY5" s="18">
        <v>38.07</v>
      </c>
      <c r="CZ5" s="18">
        <v>20.43</v>
      </c>
      <c r="DA5" s="18"/>
      <c r="DB5" s="18">
        <v>1242.55</v>
      </c>
      <c r="DC5" s="18"/>
      <c r="DD5" s="18">
        <v>280.23</v>
      </c>
      <c r="DE5" s="18"/>
      <c r="DF5" s="18">
        <v>65.27</v>
      </c>
      <c r="DG5" s="18">
        <v>35.020000000000003</v>
      </c>
      <c r="DH5" s="18">
        <v>460.2</v>
      </c>
      <c r="DI5" s="18"/>
      <c r="DJ5" s="22">
        <v>3438.82</v>
      </c>
      <c r="DK5" s="7">
        <f>SUM(CX5:DI5)</f>
        <v>4776.87</v>
      </c>
    </row>
    <row r="6" spans="1:115" hidden="1" x14ac:dyDescent="0.25">
      <c r="A6" s="4">
        <v>1</v>
      </c>
      <c r="B6" s="9" t="s">
        <v>29</v>
      </c>
      <c r="C6" s="9" t="s">
        <v>30</v>
      </c>
      <c r="D6" s="8">
        <v>43773</v>
      </c>
      <c r="E6" s="2" t="s">
        <v>6</v>
      </c>
      <c r="F6" s="3"/>
      <c r="G6" s="3"/>
      <c r="H6" s="18"/>
      <c r="I6" s="3"/>
      <c r="J6" s="3"/>
      <c r="K6" s="18"/>
      <c r="L6" s="18"/>
      <c r="M6" s="18"/>
      <c r="N6" s="18">
        <v>2437.3000000000002</v>
      </c>
      <c r="O6" s="18"/>
      <c r="P6" s="18"/>
      <c r="Q6" s="18"/>
      <c r="R6" s="18"/>
      <c r="S6" s="18"/>
      <c r="T6" s="18">
        <f>1077.92+1359.38</f>
        <v>2437.3000000000002</v>
      </c>
      <c r="U6" s="18"/>
      <c r="V6" s="18">
        <f>245+(2694.8*24.75%)</f>
        <v>911.96300000000008</v>
      </c>
      <c r="W6" s="18"/>
      <c r="X6" s="18">
        <f>(2694.8*8%)</f>
        <v>215.58400000000003</v>
      </c>
      <c r="Y6" s="18"/>
      <c r="Z6" s="18">
        <v>12.5</v>
      </c>
      <c r="AA6" s="18">
        <f t="shared" ref="AA6" si="1">(2694.8*1%)</f>
        <v>26.948000000000004</v>
      </c>
      <c r="AB6" s="18"/>
      <c r="AC6" s="18"/>
      <c r="AD6" s="18"/>
      <c r="AE6" s="18"/>
      <c r="AF6" s="18">
        <f>245+(2694.8*24.75%)</f>
        <v>911.96300000000008</v>
      </c>
      <c r="AG6" s="18"/>
      <c r="AH6" s="18">
        <f>(2694.8*8%)</f>
        <v>215.58400000000003</v>
      </c>
      <c r="AI6" s="18"/>
      <c r="AJ6" s="18">
        <v>12.5</v>
      </c>
      <c r="AK6" s="18">
        <f>(2694.8*1%)</f>
        <v>26.948000000000004</v>
      </c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U6" s="18"/>
      <c r="CV6" s="18"/>
      <c r="CW6" s="18"/>
      <c r="DA6" s="18"/>
      <c r="DC6" s="18"/>
      <c r="DD6" s="18"/>
      <c r="DE6" s="18"/>
      <c r="DG6" s="23"/>
      <c r="DH6" s="18"/>
      <c r="DI6" s="18"/>
      <c r="DJ6" s="22">
        <v>2767.29</v>
      </c>
      <c r="DK6" s="7">
        <f t="shared" ref="DK6:DK50" si="2">SUM(CX6:DI6)</f>
        <v>0</v>
      </c>
    </row>
    <row r="7" spans="1:115" x14ac:dyDescent="0.25">
      <c r="A7" s="4">
        <v>1</v>
      </c>
      <c r="B7" s="9" t="s">
        <v>31</v>
      </c>
      <c r="C7" s="9" t="s">
        <v>32</v>
      </c>
      <c r="D7" s="8">
        <v>43893</v>
      </c>
      <c r="E7" s="2" t="s">
        <v>6</v>
      </c>
      <c r="F7" s="3"/>
      <c r="G7" s="3"/>
      <c r="H7" s="18"/>
      <c r="I7" s="3"/>
      <c r="J7" s="3"/>
      <c r="K7" s="18"/>
      <c r="L7" s="18"/>
      <c r="M7" s="18"/>
      <c r="N7" s="18">
        <v>3735.5200000000004</v>
      </c>
      <c r="O7" s="18"/>
      <c r="P7" s="18"/>
      <c r="Q7" s="18"/>
      <c r="R7" s="18"/>
      <c r="S7" s="18"/>
      <c r="T7" s="18">
        <f>1768.88+1966.64</f>
        <v>3735.5200000000004</v>
      </c>
      <c r="U7" s="18"/>
      <c r="V7" s="18">
        <f>478.04+(4422.21*24.75%)</f>
        <v>1572.536975</v>
      </c>
      <c r="W7" s="18"/>
      <c r="X7" s="18">
        <f>(4422.21*8%)</f>
        <v>353.77680000000004</v>
      </c>
      <c r="Y7" s="18"/>
      <c r="Z7" s="18">
        <v>208.65</v>
      </c>
      <c r="AA7" s="18">
        <f t="shared" ref="AA7" si="3">(4422.21*1%)</f>
        <v>44.222100000000005</v>
      </c>
      <c r="AB7" s="18"/>
      <c r="AC7" s="18"/>
      <c r="AD7" s="18">
        <v>3681.5200000000004</v>
      </c>
      <c r="AE7" s="18"/>
      <c r="AF7" s="18">
        <f>478.04+(4422.21*24.75%)</f>
        <v>1572.536975</v>
      </c>
      <c r="AG7" s="18"/>
      <c r="AH7" s="18">
        <f>(4422.21*8%)</f>
        <v>353.77680000000004</v>
      </c>
      <c r="AI7" s="18"/>
      <c r="AJ7" s="18">
        <v>208.65</v>
      </c>
      <c r="AK7" s="18">
        <f>(4422.21*1%)</f>
        <v>44.222100000000005</v>
      </c>
      <c r="AL7" s="18"/>
      <c r="AM7" s="18"/>
      <c r="AN7" s="18">
        <f>1768.88+1966.64</f>
        <v>3735.5200000000004</v>
      </c>
      <c r="AO7" s="18"/>
      <c r="AP7" s="18">
        <f>478.04+(4422.21*24.75%)</f>
        <v>1572.536975</v>
      </c>
      <c r="AQ7" s="18"/>
      <c r="AR7" s="18">
        <f>(4422.21*8%)</f>
        <v>353.77680000000004</v>
      </c>
      <c r="AS7" s="18"/>
      <c r="AT7" s="18">
        <v>208.65</v>
      </c>
      <c r="AU7" s="18">
        <f>(4422.21*1%)</f>
        <v>44.222100000000005</v>
      </c>
      <c r="AV7" s="18"/>
      <c r="AW7" s="20">
        <v>54</v>
      </c>
      <c r="AX7" s="18">
        <f>1768.88+1966.64</f>
        <v>3735.5200000000004</v>
      </c>
      <c r="AY7" s="18"/>
      <c r="AZ7" s="18">
        <f>478.04+(4422.21*25.5%)</f>
        <v>1605.70355</v>
      </c>
      <c r="BA7" s="18"/>
      <c r="BB7" s="18">
        <f>(4422.21*8%)</f>
        <v>353.77680000000004</v>
      </c>
      <c r="BC7" s="18"/>
      <c r="BD7" s="18">
        <v>208.65</v>
      </c>
      <c r="BE7" s="18">
        <f>(4422.21*1%)</f>
        <v>44.222100000000005</v>
      </c>
      <c r="BF7" s="18"/>
      <c r="BG7" s="18"/>
      <c r="BH7" s="18">
        <f>1768.88+2102.22</f>
        <v>3871.1</v>
      </c>
      <c r="BI7" s="18"/>
      <c r="BJ7" s="18">
        <f>478.04+(4422.21*25.5%)</f>
        <v>1605.70355</v>
      </c>
      <c r="BK7" s="18"/>
      <c r="BL7" s="18">
        <f>(4422.21*8%)</f>
        <v>353.77680000000004</v>
      </c>
      <c r="BM7" s="18"/>
      <c r="BN7" s="18">
        <v>208.65</v>
      </c>
      <c r="BO7" s="18">
        <f>(4422.21*1%)</f>
        <v>44.222100000000005</v>
      </c>
      <c r="BP7" s="18"/>
      <c r="BQ7" s="18"/>
      <c r="BR7" s="18">
        <f>1809.57+1993.74</f>
        <v>3803.31</v>
      </c>
      <c r="BS7" s="18"/>
      <c r="BT7" s="18">
        <f>506.52+(4625.63*25.5%)</f>
        <v>1686.05565</v>
      </c>
      <c r="BU7" s="18"/>
      <c r="BV7" s="18">
        <f>(4625.63*8%)</f>
        <v>370.05040000000002</v>
      </c>
      <c r="BW7" s="18"/>
      <c r="BX7" s="18">
        <v>248.01</v>
      </c>
      <c r="BY7" s="18">
        <f>(4625.63*1%)</f>
        <v>46.256300000000003</v>
      </c>
      <c r="BZ7" s="18"/>
      <c r="CA7" s="18"/>
      <c r="CB7" s="18">
        <f>1809.57+2039.73</f>
        <v>3849.3</v>
      </c>
      <c r="CC7" s="18">
        <v>2288.6348333333335</v>
      </c>
      <c r="CD7" s="18"/>
      <c r="CE7" s="18">
        <f>492.28+(4523.92*25.5%)</f>
        <v>1645.8796</v>
      </c>
      <c r="CF7" s="18"/>
      <c r="CG7" s="18">
        <f>(4523.92*8%)</f>
        <v>361.91360000000003</v>
      </c>
      <c r="CH7" s="18"/>
      <c r="CI7" s="18">
        <v>228.33</v>
      </c>
      <c r="CJ7" s="18">
        <f>(4523.92*1%)</f>
        <v>45.239200000000004</v>
      </c>
      <c r="CK7" s="18"/>
      <c r="CL7" s="18"/>
      <c r="CM7" s="18">
        <v>3814.8100000000004</v>
      </c>
      <c r="CN7" s="18">
        <v>947.61</v>
      </c>
      <c r="CO7" s="18"/>
      <c r="CP7" s="18">
        <v>1673.15</v>
      </c>
      <c r="CQ7" s="18"/>
      <c r="CR7" s="18">
        <v>367.43</v>
      </c>
      <c r="CS7">
        <v>211.92</v>
      </c>
      <c r="CT7" s="18">
        <v>241.68</v>
      </c>
      <c r="CU7" s="18">
        <v>45.93</v>
      </c>
      <c r="CV7" s="18"/>
      <c r="CW7" s="18"/>
      <c r="CX7" s="18">
        <v>3820.74</v>
      </c>
      <c r="CY7" s="18">
        <v>88.27</v>
      </c>
      <c r="CZ7">
        <v>26.49</v>
      </c>
      <c r="DA7" s="18"/>
      <c r="DB7" s="18">
        <v>1652.7</v>
      </c>
      <c r="DC7" s="18"/>
      <c r="DD7" s="18">
        <v>363.3</v>
      </c>
      <c r="DF7">
        <v>231.67</v>
      </c>
      <c r="DG7" s="18">
        <v>45.4</v>
      </c>
      <c r="DH7" s="18"/>
      <c r="DI7" s="18"/>
      <c r="DJ7" s="22">
        <v>4541.17</v>
      </c>
      <c r="DK7" s="7">
        <f t="shared" si="2"/>
        <v>6228.57</v>
      </c>
    </row>
    <row r="8" spans="1:115" hidden="1" x14ac:dyDescent="0.25">
      <c r="A8" s="4">
        <v>1</v>
      </c>
      <c r="B8" s="9" t="s">
        <v>33</v>
      </c>
      <c r="C8" s="9" t="s">
        <v>34</v>
      </c>
      <c r="D8" s="8">
        <v>40868</v>
      </c>
      <c r="E8" s="2" t="s">
        <v>6</v>
      </c>
      <c r="F8" s="3"/>
      <c r="G8" s="3"/>
      <c r="H8" s="18"/>
      <c r="I8" s="3"/>
      <c r="J8" s="3"/>
      <c r="K8" s="18"/>
      <c r="L8" s="18"/>
      <c r="M8" s="18"/>
      <c r="N8" s="18">
        <v>2849.8199999999997</v>
      </c>
      <c r="O8" s="18"/>
      <c r="P8" s="18"/>
      <c r="Q8" s="18"/>
      <c r="R8" s="18"/>
      <c r="S8" s="18"/>
      <c r="T8" s="18">
        <f>1465.78+1384.04</f>
        <v>2849.8199999999997</v>
      </c>
      <c r="U8" s="18"/>
      <c r="V8" s="18">
        <f>389.31+(3788.46*24.75%)</f>
        <v>1326.9538500000001</v>
      </c>
      <c r="W8" s="18"/>
      <c r="X8" s="18">
        <f>(3788.46*8%)</f>
        <v>303.07679999999999</v>
      </c>
      <c r="Y8" s="18"/>
      <c r="Z8" s="18">
        <v>126.63</v>
      </c>
      <c r="AA8" s="18">
        <f t="shared" ref="AA8" si="4">(3788.46*1%)</f>
        <v>37.884599999999999</v>
      </c>
      <c r="AB8" s="18">
        <v>422.7</v>
      </c>
      <c r="AC8" s="18"/>
      <c r="AD8" s="18"/>
      <c r="AE8" s="18"/>
      <c r="AF8" s="18">
        <f>389.31+(3788.46*24.75%)</f>
        <v>1326.9538500000001</v>
      </c>
      <c r="AG8" s="18"/>
      <c r="AH8" s="18">
        <f>(3788.46*8%)</f>
        <v>303.07679999999999</v>
      </c>
      <c r="AI8" s="18"/>
      <c r="AJ8" s="18">
        <v>126.63</v>
      </c>
      <c r="AK8" s="18">
        <f>(3788.46*1%)</f>
        <v>37.884599999999999</v>
      </c>
      <c r="AL8" s="18">
        <v>422.7</v>
      </c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U8" s="18"/>
      <c r="CV8" s="18"/>
      <c r="CW8" s="18"/>
      <c r="DA8" s="18"/>
      <c r="DC8" s="18"/>
      <c r="DE8" s="18"/>
      <c r="DG8" s="23"/>
      <c r="DH8" s="18"/>
      <c r="DI8" s="18"/>
      <c r="DJ8" s="22">
        <v>3763.03</v>
      </c>
      <c r="DK8" s="7">
        <f t="shared" si="2"/>
        <v>0</v>
      </c>
    </row>
    <row r="9" spans="1:115" x14ac:dyDescent="0.25">
      <c r="A9" s="4">
        <v>1</v>
      </c>
      <c r="B9" s="9" t="s">
        <v>35</v>
      </c>
      <c r="C9" s="9" t="s">
        <v>36</v>
      </c>
      <c r="D9" s="8">
        <v>41852</v>
      </c>
      <c r="E9" s="2" t="s">
        <v>6</v>
      </c>
      <c r="F9" s="3"/>
      <c r="G9" s="3"/>
      <c r="H9" s="18"/>
      <c r="I9" s="3"/>
      <c r="J9" s="3"/>
      <c r="K9" s="18"/>
      <c r="L9" s="18"/>
      <c r="M9" s="18"/>
      <c r="N9" s="18">
        <v>8340.42</v>
      </c>
      <c r="O9" s="18"/>
      <c r="P9" s="18"/>
      <c r="Q9" s="18"/>
      <c r="R9" s="18"/>
      <c r="S9" s="18"/>
      <c r="T9" s="18">
        <f>4353.63+3986.79</f>
        <v>8340.42</v>
      </c>
      <c r="U9" s="18"/>
      <c r="V9" s="18">
        <f>713.08+(10946.08*24.75%)</f>
        <v>3422.2347999999997</v>
      </c>
      <c r="W9" s="18"/>
      <c r="X9" s="18">
        <f>(10946.08*8%)</f>
        <v>875.68640000000005</v>
      </c>
      <c r="Y9" s="18"/>
      <c r="Z9" s="18">
        <v>1892.58</v>
      </c>
      <c r="AA9" s="18">
        <f t="shared" ref="AA9" si="5">(10946.08*1%)</f>
        <v>109.46080000000001</v>
      </c>
      <c r="AB9" s="18"/>
      <c r="AC9" s="18"/>
      <c r="AD9" s="18"/>
      <c r="AE9" s="18"/>
      <c r="AF9" s="18">
        <f>713.08+(10946.08*24.75%)</f>
        <v>3422.2347999999997</v>
      </c>
      <c r="AG9" s="18"/>
      <c r="AH9" s="18">
        <f>(10946.08*8%)</f>
        <v>875.68640000000005</v>
      </c>
      <c r="AI9" s="18"/>
      <c r="AJ9" s="18">
        <v>1892.58</v>
      </c>
      <c r="AK9" s="18">
        <f>(10946.08*1%)</f>
        <v>109.46080000000001</v>
      </c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>
        <f>4031.74+4353.63</f>
        <v>8385.369999999999</v>
      </c>
      <c r="AY9" s="18"/>
      <c r="AZ9" s="18"/>
      <c r="BA9" s="18"/>
      <c r="BB9" s="18"/>
      <c r="BC9" s="18"/>
      <c r="BD9" s="18"/>
      <c r="BE9" s="18"/>
      <c r="BF9" s="18"/>
      <c r="BG9" s="18"/>
      <c r="BH9" s="18">
        <f>4353.63+4394.72</f>
        <v>8748.35</v>
      </c>
      <c r="BI9" s="18"/>
      <c r="BJ9" s="18">
        <f>713.08+(11008.08*25.5%)</f>
        <v>3520.1403999999998</v>
      </c>
      <c r="BK9" s="18"/>
      <c r="BL9" s="18">
        <f>(11008.08*8%)</f>
        <v>880.64639999999997</v>
      </c>
      <c r="BM9" s="18"/>
      <c r="BN9" s="18">
        <v>1909.63</v>
      </c>
      <c r="BO9" s="18">
        <f>(11008.08*1%)</f>
        <v>110.0808</v>
      </c>
      <c r="BP9" s="18"/>
      <c r="BQ9" s="18"/>
      <c r="BR9" s="18">
        <f>4453.76+4113.1</f>
        <v>8566.86</v>
      </c>
      <c r="BS9" s="18"/>
      <c r="BT9" s="18">
        <f>713.08+(11508.74*25.5%)</f>
        <v>3647.8087</v>
      </c>
      <c r="BU9" s="18"/>
      <c r="BV9" s="18">
        <f>(11508.74*8%)</f>
        <v>920.69920000000002</v>
      </c>
      <c r="BW9" s="18"/>
      <c r="BX9" s="18">
        <v>2047.31</v>
      </c>
      <c r="BY9" s="18">
        <f>(11508.74*1%)</f>
        <v>115.0874</v>
      </c>
      <c r="BZ9" s="18"/>
      <c r="CA9" s="18"/>
      <c r="CB9" s="18">
        <f>4453.76+4247.81</f>
        <v>8701.57</v>
      </c>
      <c r="CC9" s="18">
        <v>5016.9816666666666</v>
      </c>
      <c r="CD9" s="18"/>
      <c r="CE9" s="18">
        <f>713.08+(11258.41*25.5%)</f>
        <v>3583.9745499999999</v>
      </c>
      <c r="CF9" s="18"/>
      <c r="CG9" s="18">
        <f>(11258.41*8%)</f>
        <v>900.67280000000005</v>
      </c>
      <c r="CH9" s="18"/>
      <c r="CI9" s="18">
        <v>1978.47</v>
      </c>
      <c r="CJ9" s="18">
        <f>(11258.41*1%)</f>
        <v>112.58410000000001</v>
      </c>
      <c r="CK9" s="18"/>
      <c r="CL9" s="18"/>
      <c r="CM9" s="18">
        <v>8600.5400000000009</v>
      </c>
      <c r="CN9" s="18">
        <v>2097.56</v>
      </c>
      <c r="CO9" s="18"/>
      <c r="CP9" s="18">
        <v>3631.36</v>
      </c>
      <c r="CQ9" s="18"/>
      <c r="CR9" s="18">
        <v>915.53</v>
      </c>
      <c r="CS9" s="18">
        <v>527.55999999999995</v>
      </c>
      <c r="CT9" s="18">
        <v>2029.56</v>
      </c>
      <c r="CU9" s="18">
        <v>114.44</v>
      </c>
      <c r="CV9" s="18"/>
      <c r="CW9" s="18"/>
      <c r="CX9" s="18">
        <v>5152.7299999999996</v>
      </c>
      <c r="CY9" s="18">
        <v>1161.55</v>
      </c>
      <c r="CZ9" s="18">
        <v>65.95</v>
      </c>
      <c r="DA9" s="18">
        <v>2119.0500000000002</v>
      </c>
      <c r="DB9" s="18">
        <v>3595.8199999999997</v>
      </c>
      <c r="DC9" s="18"/>
      <c r="DD9" s="18">
        <v>904.39</v>
      </c>
      <c r="DE9" s="18"/>
      <c r="DF9" s="18">
        <v>1991.24</v>
      </c>
      <c r="DG9" s="18">
        <v>113.04</v>
      </c>
      <c r="DH9" s="18"/>
      <c r="DI9" s="18"/>
      <c r="DJ9" s="22">
        <v>11176.86</v>
      </c>
      <c r="DK9" s="7">
        <f t="shared" si="2"/>
        <v>15103.769999999999</v>
      </c>
    </row>
    <row r="10" spans="1:115" x14ac:dyDescent="0.25">
      <c r="A10" s="4">
        <v>1</v>
      </c>
      <c r="B10" s="9" t="s">
        <v>86</v>
      </c>
      <c r="C10" s="9" t="s">
        <v>154</v>
      </c>
      <c r="D10" s="8">
        <v>42009</v>
      </c>
      <c r="E10" s="2" t="s">
        <v>6</v>
      </c>
      <c r="F10" s="3"/>
      <c r="G10" s="3"/>
      <c r="H10" s="18"/>
      <c r="I10" s="3"/>
      <c r="J10" s="3"/>
      <c r="K10" s="18"/>
      <c r="L10" s="18"/>
      <c r="M10" s="18"/>
      <c r="N10" s="18">
        <v>1420.81</v>
      </c>
      <c r="O10" s="18">
        <v>1583.11</v>
      </c>
      <c r="P10" s="18"/>
      <c r="Q10" s="18"/>
      <c r="R10" s="18"/>
      <c r="S10" s="18"/>
      <c r="T10" s="19"/>
      <c r="U10" s="18"/>
      <c r="V10" s="18">
        <f>167.11+((1192.92+62)*24.75%)</f>
        <v>477.70270000000005</v>
      </c>
      <c r="W10" s="18">
        <v>381.71</v>
      </c>
      <c r="X10" s="18">
        <f>((1192.92+62)*8%)</f>
        <v>100.39360000000001</v>
      </c>
      <c r="Y10" s="18">
        <v>90.2</v>
      </c>
      <c r="Z10" s="19">
        <v>5.52</v>
      </c>
      <c r="AA10" s="19">
        <f t="shared" ref="AA10" si="6">((1192.92+62)*1%)+12.68</f>
        <v>25.229199999999999</v>
      </c>
      <c r="AB10" s="18"/>
      <c r="AC10" s="18"/>
      <c r="AD10" s="18"/>
      <c r="AE10" s="18"/>
      <c r="AF10" s="19"/>
      <c r="AG10" s="18"/>
      <c r="AH10" s="19"/>
      <c r="AI10" s="18"/>
      <c r="AJ10" s="19"/>
      <c r="AK10" s="19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>
        <f>1861.88+1192.92</f>
        <v>3054.8</v>
      </c>
      <c r="AY10" s="18"/>
      <c r="AZ10" s="18"/>
      <c r="BA10" s="18"/>
      <c r="BB10" s="18"/>
      <c r="BC10" s="18"/>
      <c r="BD10" s="18"/>
      <c r="BE10" s="18"/>
      <c r="BF10" s="18"/>
      <c r="BG10" s="18"/>
      <c r="BH10" s="18">
        <f>1192.92+1937.88</f>
        <v>3130.8</v>
      </c>
      <c r="BI10" s="18"/>
      <c r="BJ10" s="18">
        <f>286.94+(3044.3*25.5%)</f>
        <v>1063.2365</v>
      </c>
      <c r="BK10" s="18"/>
      <c r="BL10" s="18">
        <f>(3044.3*8%)</f>
        <v>243.54400000000001</v>
      </c>
      <c r="BM10" s="18"/>
      <c r="BN10" s="18">
        <v>35.56</v>
      </c>
      <c r="BO10" s="18">
        <f>(3044.3*1%)</f>
        <v>30.443000000000001</v>
      </c>
      <c r="BP10" s="18"/>
      <c r="BQ10" s="18"/>
      <c r="BR10" s="18">
        <f>1370.3+1705.94</f>
        <v>3076.24</v>
      </c>
      <c r="BS10" s="18"/>
      <c r="BT10" s="18">
        <f>356.82+(3556.35*25.5%)</f>
        <v>1263.6892499999999</v>
      </c>
      <c r="BU10" s="18"/>
      <c r="BV10" s="18">
        <f>(3556.35*8%)</f>
        <v>284.50799999999998</v>
      </c>
      <c r="BW10" s="18"/>
      <c r="BX10" s="18">
        <v>68.73</v>
      </c>
      <c r="BY10" s="18">
        <f>(3556.35*1%)</f>
        <v>35.563499999999998</v>
      </c>
      <c r="BZ10" s="18"/>
      <c r="CA10" s="18"/>
      <c r="CB10" s="18">
        <f>1370.3+1721.56</f>
        <v>3091.8599999999997</v>
      </c>
      <c r="CC10" s="18">
        <v>1795.4008333333334</v>
      </c>
      <c r="CD10" s="18"/>
      <c r="CE10" s="18">
        <f>347.22+(3487.76*25.5%)</f>
        <v>1236.5988000000002</v>
      </c>
      <c r="CF10" s="18"/>
      <c r="CG10" s="18">
        <f>(3487.76*8%)</f>
        <v>279.02080000000001</v>
      </c>
      <c r="CH10" s="18"/>
      <c r="CI10" s="18">
        <v>64.3</v>
      </c>
      <c r="CJ10" s="18">
        <f>(3487.76*1%)</f>
        <v>34.877600000000001</v>
      </c>
      <c r="CK10" s="18"/>
      <c r="CL10" s="18"/>
      <c r="CM10" s="18">
        <v>3129.7700000000004</v>
      </c>
      <c r="CN10" s="18">
        <v>721.82</v>
      </c>
      <c r="CO10" s="18"/>
      <c r="CP10" s="18">
        <v>1244.3599999999999</v>
      </c>
      <c r="CQ10" s="18"/>
      <c r="CR10" s="18">
        <v>280.58999999999997</v>
      </c>
      <c r="CS10" s="18">
        <v>162.86000000000001</v>
      </c>
      <c r="CT10" s="18">
        <v>65.569999999999993</v>
      </c>
      <c r="CU10" s="18">
        <v>35.07</v>
      </c>
      <c r="CV10" s="18"/>
      <c r="CW10" s="18"/>
      <c r="CX10" s="18">
        <v>3145.44</v>
      </c>
      <c r="CY10" s="18">
        <v>37.58</v>
      </c>
      <c r="CZ10">
        <v>20.36</v>
      </c>
      <c r="DA10" s="18"/>
      <c r="DB10" s="18">
        <v>1263.18</v>
      </c>
      <c r="DC10" s="18"/>
      <c r="DD10" s="18">
        <v>284.40999999999997</v>
      </c>
      <c r="DE10" s="18"/>
      <c r="DF10">
        <v>68.64</v>
      </c>
      <c r="DG10" s="18">
        <v>35.54</v>
      </c>
      <c r="DH10" s="18"/>
      <c r="DI10" s="18"/>
      <c r="DJ10" s="22">
        <v>3438.82</v>
      </c>
      <c r="DK10" s="7">
        <f t="shared" si="2"/>
        <v>4855.1500000000005</v>
      </c>
    </row>
    <row r="11" spans="1:115" x14ac:dyDescent="0.25">
      <c r="A11" s="4">
        <v>1</v>
      </c>
      <c r="B11" s="9" t="s">
        <v>37</v>
      </c>
      <c r="C11" s="9" t="s">
        <v>38</v>
      </c>
      <c r="D11" s="8">
        <v>41526</v>
      </c>
      <c r="E11" s="2" t="s">
        <v>120</v>
      </c>
      <c r="F11" s="3"/>
      <c r="G11" s="3"/>
      <c r="H11" s="18"/>
      <c r="I11" s="3"/>
      <c r="J11" s="3"/>
      <c r="K11" s="18"/>
      <c r="L11" s="18"/>
      <c r="M11" s="18"/>
      <c r="N11" s="18">
        <v>4317.67</v>
      </c>
      <c r="O11" s="18"/>
      <c r="P11" s="18"/>
      <c r="Q11" s="18"/>
      <c r="R11" s="18"/>
      <c r="S11" s="18"/>
      <c r="T11" s="18">
        <f>2043.06+732.28</f>
        <v>2775.34</v>
      </c>
      <c r="U11" s="19">
        <v>4170.2700000000004</v>
      </c>
      <c r="V11" s="18">
        <f>591.36+((5231.65)*24.75%)</f>
        <v>1886.1933749999998</v>
      </c>
      <c r="W11" s="18"/>
      <c r="X11" s="18">
        <f>((5231.65)*8%)</f>
        <v>418.53199999999998</v>
      </c>
      <c r="Y11" s="18"/>
      <c r="Z11" s="18">
        <v>322.62</v>
      </c>
      <c r="AA11" s="18">
        <f t="shared" ref="AA11" si="7">((5231.65)*1%)</f>
        <v>52.316499999999998</v>
      </c>
      <c r="AB11" s="18"/>
      <c r="AC11" s="18"/>
      <c r="AD11" s="18">
        <v>3609.18</v>
      </c>
      <c r="AE11" s="18"/>
      <c r="AF11" s="18">
        <f>203.1+((2894.34+124)*24.75%)</f>
        <v>950.13915000000009</v>
      </c>
      <c r="AG11" s="18">
        <v>1107.3</v>
      </c>
      <c r="AH11" s="18">
        <f>((2894.34+124)*8%)</f>
        <v>241.46720000000002</v>
      </c>
      <c r="AI11" s="18">
        <v>248.02</v>
      </c>
      <c r="AJ11" s="19">
        <f>39.9+140.09</f>
        <v>179.99</v>
      </c>
      <c r="AK11" s="19">
        <f>((2894.34+124)*1%)+34.88</f>
        <v>65.063400000000001</v>
      </c>
      <c r="AL11" s="18"/>
      <c r="AM11" s="18"/>
      <c r="AN11" s="18">
        <f>2043.06+2274.61</f>
        <v>4317.67</v>
      </c>
      <c r="AO11" s="18"/>
      <c r="AP11" s="19">
        <f>448.35+((4210.12)*24.75%)</f>
        <v>1490.3546999999999</v>
      </c>
      <c r="AQ11" s="18"/>
      <c r="AR11" s="18">
        <f>((4210.12)*8%)</f>
        <v>336.80959999999999</v>
      </c>
      <c r="AS11" s="18"/>
      <c r="AT11" s="18">
        <v>152.59</v>
      </c>
      <c r="AU11" s="19">
        <f>((4086.12+124)*1%)</f>
        <v>42.101199999999999</v>
      </c>
      <c r="AV11" s="18"/>
      <c r="AW11" s="18"/>
      <c r="AX11" s="18">
        <f>2043.06+2274.61</f>
        <v>4317.67</v>
      </c>
      <c r="AY11" s="18"/>
      <c r="AZ11" s="18">
        <f>591.36+((5107.65+124)*25.5%)</f>
        <v>1925.43075</v>
      </c>
      <c r="BA11" s="18"/>
      <c r="BB11" s="18">
        <f>((5107.65+124)*8%)</f>
        <v>418.53199999999998</v>
      </c>
      <c r="BC11" s="18"/>
      <c r="BD11" s="18">
        <v>322.62</v>
      </c>
      <c r="BE11" s="18">
        <f>((5107.65+124)*1%)</f>
        <v>52.316499999999998</v>
      </c>
      <c r="BF11" s="18"/>
      <c r="BG11" s="18"/>
      <c r="BH11" s="18">
        <f>2043.06+2431.21</f>
        <v>4474.2700000000004</v>
      </c>
      <c r="BI11" s="18"/>
      <c r="BJ11" s="18">
        <f>591.36+((5107.65+124)*25.5%)</f>
        <v>1925.43075</v>
      </c>
      <c r="BK11" s="18"/>
      <c r="BL11" s="18">
        <f>((5107.65+124)*8%)</f>
        <v>418.53199999999998</v>
      </c>
      <c r="BM11" s="18"/>
      <c r="BN11" s="18">
        <v>322.62</v>
      </c>
      <c r="BO11" s="18">
        <f>((5107.65+124)*1%)</f>
        <v>52.316499999999998</v>
      </c>
      <c r="BP11" s="18"/>
      <c r="BQ11" s="18"/>
      <c r="BR11" s="18">
        <f>2090.05+2305.92</f>
        <v>4395.97</v>
      </c>
      <c r="BS11" s="18"/>
      <c r="BT11" s="18">
        <f>624.25+(5466.61*25.5%)</f>
        <v>2018.2355499999999</v>
      </c>
      <c r="BU11" s="18"/>
      <c r="BV11" s="18">
        <f>((5466.61)*8%)</f>
        <v>437.3288</v>
      </c>
      <c r="BW11" s="18"/>
      <c r="BX11" s="18">
        <v>368.09</v>
      </c>
      <c r="BY11" s="18">
        <f>((5466.61)*1%)</f>
        <v>54.6661</v>
      </c>
      <c r="BZ11" s="18"/>
      <c r="CA11" s="18"/>
      <c r="CB11" s="18">
        <f>2090.05+2369.69</f>
        <v>4459.74</v>
      </c>
      <c r="CC11" s="18">
        <v>1796.0799999999997</v>
      </c>
      <c r="CD11" s="18"/>
      <c r="CE11" s="18">
        <f>607.81+(5349.13*25.5%)</f>
        <v>1971.83815</v>
      </c>
      <c r="CF11" s="18"/>
      <c r="CG11" s="18">
        <f>(5349.13*8%)</f>
        <v>427.93040000000002</v>
      </c>
      <c r="CH11" s="18"/>
      <c r="CI11" s="18">
        <v>345.35</v>
      </c>
      <c r="CJ11" s="18">
        <f>(5349.13*1%)</f>
        <v>53.491300000000003</v>
      </c>
      <c r="CK11" s="18"/>
      <c r="CL11" s="18"/>
      <c r="CM11" s="18">
        <v>4411.91</v>
      </c>
      <c r="CN11" s="18">
        <v>1981.29</v>
      </c>
      <c r="CO11" s="18"/>
      <c r="CP11" s="18">
        <v>2009.64</v>
      </c>
      <c r="CQ11" s="18"/>
      <c r="CR11" s="18">
        <v>435.58</v>
      </c>
      <c r="CS11" s="18">
        <v>217.99</v>
      </c>
      <c r="CT11" s="18">
        <v>363.86</v>
      </c>
      <c r="CU11" s="18">
        <v>54.45</v>
      </c>
      <c r="CV11" s="18"/>
      <c r="CW11" s="18"/>
      <c r="CX11" s="18"/>
      <c r="CY11" s="18">
        <v>204.16</v>
      </c>
      <c r="CZ11" s="18">
        <v>16.079999999999998</v>
      </c>
      <c r="DA11" s="18">
        <v>16697.86</v>
      </c>
      <c r="DB11" s="18">
        <v>1981.29</v>
      </c>
      <c r="DC11" s="18"/>
      <c r="DD11" s="18">
        <v>429.84999999999997</v>
      </c>
      <c r="DE11" s="19">
        <v>868.55</v>
      </c>
      <c r="DF11" s="18">
        <v>349.98</v>
      </c>
      <c r="DG11" s="18">
        <v>53.72</v>
      </c>
      <c r="DH11" s="18"/>
      <c r="DI11" s="18"/>
      <c r="DJ11" s="22">
        <v>5245.05</v>
      </c>
      <c r="DK11" s="7">
        <f t="shared" si="2"/>
        <v>20601.490000000002</v>
      </c>
    </row>
    <row r="12" spans="1:115" hidden="1" x14ac:dyDescent="0.25">
      <c r="A12" s="4">
        <v>1</v>
      </c>
      <c r="B12" s="9" t="s">
        <v>87</v>
      </c>
      <c r="C12" s="9" t="s">
        <v>88</v>
      </c>
      <c r="D12" s="8">
        <v>43656</v>
      </c>
      <c r="E12" s="2" t="s">
        <v>6</v>
      </c>
      <c r="F12" s="3"/>
      <c r="G12" s="3"/>
      <c r="H12" s="18"/>
      <c r="I12" s="3"/>
      <c r="J12" s="3"/>
      <c r="K12" s="18"/>
      <c r="L12" s="18"/>
      <c r="M12" s="18"/>
      <c r="N12" s="18">
        <v>1100</v>
      </c>
      <c r="O12" s="18"/>
      <c r="P12" s="18"/>
      <c r="Q12" s="18"/>
      <c r="R12" s="18"/>
      <c r="S12" s="18"/>
      <c r="T12" s="18">
        <v>1100</v>
      </c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U12" s="18"/>
      <c r="CV12" s="18"/>
      <c r="CW12" s="18"/>
      <c r="DA12" s="18"/>
      <c r="DC12" s="18"/>
      <c r="DE12" s="18"/>
      <c r="DF12" s="23"/>
      <c r="DG12" s="23"/>
      <c r="DH12" s="18"/>
      <c r="DI12" s="18"/>
      <c r="DJ12" s="22">
        <v>1100</v>
      </c>
      <c r="DK12" s="7">
        <f t="shared" si="2"/>
        <v>0</v>
      </c>
    </row>
    <row r="13" spans="1:115" x14ac:dyDescent="0.25">
      <c r="A13" s="4">
        <v>1</v>
      </c>
      <c r="B13" s="9" t="s">
        <v>21</v>
      </c>
      <c r="C13" s="9" t="s">
        <v>8</v>
      </c>
      <c r="D13" s="8">
        <v>42962</v>
      </c>
      <c r="E13" s="2" t="s">
        <v>6</v>
      </c>
      <c r="F13" s="3"/>
      <c r="G13" s="3"/>
      <c r="H13" s="18"/>
      <c r="I13" s="3"/>
      <c r="J13" s="3"/>
      <c r="K13" s="18"/>
      <c r="L13" s="18">
        <v>2316.85</v>
      </c>
      <c r="M13" s="18"/>
      <c r="N13" s="18">
        <v>2221.58</v>
      </c>
      <c r="O13" s="18"/>
      <c r="P13" s="18">
        <v>566.88</v>
      </c>
      <c r="Q13" s="18">
        <v>131.44999999999999</v>
      </c>
      <c r="R13" s="18"/>
      <c r="S13" s="18">
        <v>18.489999999999998</v>
      </c>
      <c r="T13" s="18">
        <f>985.89+1235.69</f>
        <v>2221.58</v>
      </c>
      <c r="U13" s="18"/>
      <c r="V13" s="18">
        <f>217.39+(2464.72*24.75%)</f>
        <v>827.40819999999997</v>
      </c>
      <c r="W13" s="18"/>
      <c r="X13" s="18">
        <f>(2464.72*8%)</f>
        <v>197.17759999999998</v>
      </c>
      <c r="Y13" s="18"/>
      <c r="Z13" s="18">
        <v>25.75</v>
      </c>
      <c r="AA13" s="18">
        <f t="shared" ref="AA13" si="8">(2464.72*1%)</f>
        <v>24.647199999999998</v>
      </c>
      <c r="AB13" s="18"/>
      <c r="AC13" s="18"/>
      <c r="AD13" s="18">
        <v>2221.58</v>
      </c>
      <c r="AE13" s="18"/>
      <c r="AF13" s="18">
        <f>217.39+(2464.72*24.75%)</f>
        <v>827.40819999999997</v>
      </c>
      <c r="AG13" s="18"/>
      <c r="AH13" s="18">
        <f>(2464.72*8%)</f>
        <v>197.17759999999998</v>
      </c>
      <c r="AI13" s="18"/>
      <c r="AJ13" s="18">
        <v>25.75</v>
      </c>
      <c r="AK13" s="18">
        <f>(2464.72*1%)</f>
        <v>24.647199999999998</v>
      </c>
      <c r="AL13" s="18"/>
      <c r="AM13" s="18"/>
      <c r="AN13" s="18">
        <f>985.89+1235.69</f>
        <v>2221.58</v>
      </c>
      <c r="AO13" s="18"/>
      <c r="AP13" s="18">
        <f>217.39+(2464.72*24.75%)</f>
        <v>827.40819999999997</v>
      </c>
      <c r="AQ13" s="18"/>
      <c r="AR13" s="18">
        <f>(2464.72*8%)</f>
        <v>197.17759999999998</v>
      </c>
      <c r="AS13" s="18"/>
      <c r="AT13" s="18">
        <v>25.75</v>
      </c>
      <c r="AU13" s="18">
        <f>(2464.72*1%)</f>
        <v>24.647199999999998</v>
      </c>
      <c r="AV13" s="18"/>
      <c r="AW13" s="18"/>
      <c r="AX13" s="18">
        <f>985.89+1286.16</f>
        <v>2272.0500000000002</v>
      </c>
      <c r="AY13" s="18"/>
      <c r="AZ13" s="18">
        <f>217.39+(2464.72*25.5%)</f>
        <v>845.89359999999999</v>
      </c>
      <c r="BA13" s="18"/>
      <c r="BB13" s="18">
        <f>(2464.72*8%)</f>
        <v>197.17759999999998</v>
      </c>
      <c r="BC13" s="18"/>
      <c r="BD13" s="18">
        <v>25.75</v>
      </c>
      <c r="BE13" s="18">
        <f>(2464.72*1%)</f>
        <v>24.647199999999998</v>
      </c>
      <c r="BF13" s="18"/>
      <c r="BG13" s="18"/>
      <c r="BH13" s="18">
        <f>985.89+1142.02</f>
        <v>2127.91</v>
      </c>
      <c r="BI13" s="18"/>
      <c r="BJ13" s="18">
        <f>224.83+(2526.72*25.5%)</f>
        <v>869.14359999999999</v>
      </c>
      <c r="BK13" s="18"/>
      <c r="BL13" s="18">
        <f>(2526.72*8%)</f>
        <v>202.13759999999999</v>
      </c>
      <c r="BM13" s="18"/>
      <c r="BN13" s="18">
        <v>29.84</v>
      </c>
      <c r="BO13" s="18">
        <f>(2526.72*1%)</f>
        <v>25.267199999999999</v>
      </c>
      <c r="BP13" s="18"/>
      <c r="BQ13" s="18"/>
      <c r="BR13" s="18">
        <f>1008.56+1077.82+236.43</f>
        <v>2322.81</v>
      </c>
      <c r="BS13" s="18"/>
      <c r="BT13" s="18">
        <f>238.44+(2640.1*25.5%)</f>
        <v>911.66550000000007</v>
      </c>
      <c r="BU13" s="18"/>
      <c r="BV13" s="18">
        <f>(2640.1*8%)</f>
        <v>211.208</v>
      </c>
      <c r="BW13" s="18"/>
      <c r="BX13" s="18">
        <v>37.32</v>
      </c>
      <c r="BY13" s="18">
        <f>(2640.1*1%)</f>
        <v>26.401</v>
      </c>
      <c r="BZ13" s="18"/>
      <c r="CA13" s="18"/>
      <c r="CB13" s="18">
        <f>1008.56+1111.67+235.76+231.82</f>
        <v>2587.81</v>
      </c>
      <c r="CC13" s="18">
        <v>1357.79</v>
      </c>
      <c r="CD13" s="18"/>
      <c r="CE13" s="18">
        <f>231.63+(2583.41*25.5%)</f>
        <v>890.39954999999998</v>
      </c>
      <c r="CF13" s="18"/>
      <c r="CG13" s="18">
        <f>(2583.41*8%)</f>
        <v>206.6728</v>
      </c>
      <c r="CH13" s="18"/>
      <c r="CI13" s="18">
        <v>33.58</v>
      </c>
      <c r="CJ13" s="18">
        <f>(2583.41*1%)</f>
        <v>25.834099999999999</v>
      </c>
      <c r="CK13" s="18"/>
      <c r="CL13" s="18"/>
      <c r="CM13" s="18">
        <v>2327.65</v>
      </c>
      <c r="CN13" s="18">
        <v>521.94000000000005</v>
      </c>
      <c r="CO13" s="18"/>
      <c r="CP13" s="18">
        <v>907.82</v>
      </c>
      <c r="CQ13" s="18"/>
      <c r="CR13" s="18">
        <v>210.38</v>
      </c>
      <c r="CS13" s="18">
        <v>121.1</v>
      </c>
      <c r="CT13" s="18">
        <v>36.65</v>
      </c>
      <c r="CU13" s="18">
        <v>26.3</v>
      </c>
      <c r="CV13" s="18"/>
      <c r="CW13" s="18"/>
      <c r="CX13" s="18">
        <v>2098.4</v>
      </c>
      <c r="CY13" s="18">
        <v>20.04</v>
      </c>
      <c r="CZ13" s="18">
        <v>15.14</v>
      </c>
      <c r="DA13" s="18"/>
      <c r="DB13" s="18">
        <v>894.75</v>
      </c>
      <c r="DC13" s="18"/>
      <c r="DD13" s="18">
        <v>207.60999999999999</v>
      </c>
      <c r="DE13" s="18"/>
      <c r="DF13" s="18">
        <v>34.35</v>
      </c>
      <c r="DG13" s="18">
        <v>25.94</v>
      </c>
      <c r="DH13" s="18"/>
      <c r="DI13" s="18"/>
      <c r="DJ13" s="22">
        <v>2531.02</v>
      </c>
      <c r="DK13" s="7">
        <f t="shared" si="2"/>
        <v>3296.23</v>
      </c>
    </row>
    <row r="14" spans="1:115" hidden="1" x14ac:dyDescent="0.25">
      <c r="A14" s="4">
        <v>1</v>
      </c>
      <c r="B14" s="9" t="s">
        <v>39</v>
      </c>
      <c r="C14" s="9" t="s">
        <v>40</v>
      </c>
      <c r="D14" s="8">
        <v>43843</v>
      </c>
      <c r="E14" s="2" t="s">
        <v>120</v>
      </c>
      <c r="F14" s="3"/>
      <c r="G14" s="3"/>
      <c r="H14" s="18"/>
      <c r="I14" s="3"/>
      <c r="J14" s="3"/>
      <c r="K14" s="18"/>
      <c r="L14" s="18"/>
      <c r="M14" s="18"/>
      <c r="N14" s="18">
        <v>3153.4300000000003</v>
      </c>
      <c r="O14" s="18"/>
      <c r="P14" s="18"/>
      <c r="Q14" s="18"/>
      <c r="R14" s="18"/>
      <c r="S14" s="18"/>
      <c r="T14" s="19"/>
      <c r="U14" s="18"/>
      <c r="V14" s="18">
        <f>371.95+(3664.46*24.75%)</f>
        <v>1278.9038499999999</v>
      </c>
      <c r="W14" s="18"/>
      <c r="X14" s="18">
        <f>(3664.46*8%)</f>
        <v>293.15680000000003</v>
      </c>
      <c r="Y14" s="18"/>
      <c r="Z14" s="18">
        <v>139.08000000000001</v>
      </c>
      <c r="AA14" s="18">
        <f t="shared" ref="AA14" si="9">(3664.46*1%)-0.01</f>
        <v>36.634600000000006</v>
      </c>
      <c r="AB14" s="18"/>
      <c r="AC14" s="18"/>
      <c r="AD14" s="18"/>
      <c r="AE14" s="18"/>
      <c r="AF14" s="19"/>
      <c r="AG14" s="18"/>
      <c r="AH14" s="19"/>
      <c r="AI14" s="18"/>
      <c r="AJ14" s="19"/>
      <c r="AK14" s="19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>
        <f>1465.78+1687.65</f>
        <v>3153.4300000000003</v>
      </c>
      <c r="AY14" s="18"/>
      <c r="AZ14" s="18"/>
      <c r="BA14" s="18"/>
      <c r="BB14" s="18"/>
      <c r="BC14" s="18"/>
      <c r="BD14" s="18"/>
      <c r="BE14" s="18"/>
      <c r="BF14" s="18"/>
      <c r="BG14" s="18"/>
      <c r="BH14" s="18">
        <v>2499.88</v>
      </c>
      <c r="BI14" s="18"/>
      <c r="BJ14" s="18">
        <f>371.95+(3664.46*25.5%)</f>
        <v>1306.3873000000001</v>
      </c>
      <c r="BK14" s="18"/>
      <c r="BL14" s="18">
        <f>(3664.46*8%)</f>
        <v>293.15680000000003</v>
      </c>
      <c r="BM14" s="18"/>
      <c r="BN14" s="18">
        <v>139.08000000000001</v>
      </c>
      <c r="BO14" s="18">
        <f>(3664.46*1%)</f>
        <v>36.644600000000004</v>
      </c>
      <c r="BP14" s="18"/>
      <c r="BQ14" s="18"/>
      <c r="BR14" s="18"/>
      <c r="BS14" s="18"/>
      <c r="BT14" s="18">
        <f>438.74+36.64</f>
        <v>475.38</v>
      </c>
      <c r="BU14" s="18"/>
      <c r="BV14" s="18">
        <v>112.38</v>
      </c>
      <c r="BW14" s="18"/>
      <c r="BX14" s="18">
        <v>9.1199999999999992</v>
      </c>
      <c r="BY14" s="18">
        <v>14.05</v>
      </c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DA14" s="18"/>
      <c r="DC14" s="18"/>
      <c r="DE14" s="18"/>
      <c r="DF14" s="23"/>
      <c r="DG14" s="23"/>
      <c r="DH14" s="18"/>
      <c r="DI14" s="18"/>
      <c r="DJ14" s="22">
        <v>3664.46</v>
      </c>
      <c r="DK14" s="7">
        <f t="shared" si="2"/>
        <v>0</v>
      </c>
    </row>
    <row r="15" spans="1:115" x14ac:dyDescent="0.25">
      <c r="A15" s="4">
        <v>1</v>
      </c>
      <c r="B15" s="9" t="s">
        <v>89</v>
      </c>
      <c r="C15" s="9" t="s">
        <v>90</v>
      </c>
      <c r="D15" s="8">
        <v>42558</v>
      </c>
      <c r="E15" s="2" t="s">
        <v>6</v>
      </c>
      <c r="F15" s="3"/>
      <c r="G15" s="3"/>
      <c r="H15" s="18"/>
      <c r="I15" s="3"/>
      <c r="J15" s="3"/>
      <c r="K15" s="18"/>
      <c r="L15" s="18"/>
      <c r="M15" s="18"/>
      <c r="N15" s="18">
        <v>3469.77</v>
      </c>
      <c r="O15" s="18">
        <v>10269.64</v>
      </c>
      <c r="P15" s="18"/>
      <c r="Q15" s="18"/>
      <c r="R15" s="18"/>
      <c r="S15" s="18"/>
      <c r="T15" s="18">
        <v>8290.42</v>
      </c>
      <c r="U15" s="18"/>
      <c r="V15" s="18">
        <f>+((3628.03+62)*24.75%)</f>
        <v>913.28242499999999</v>
      </c>
      <c r="W15" s="18">
        <v>2601.02</v>
      </c>
      <c r="X15" s="18">
        <f>+((3628.03+62)*8%)</f>
        <v>295.20240000000001</v>
      </c>
      <c r="Y15" s="18">
        <v>648.66</v>
      </c>
      <c r="Z15" s="19">
        <f>170.27+1298.43</f>
        <v>1468.7</v>
      </c>
      <c r="AA15" s="19">
        <f t="shared" ref="AA15" si="10">+((3628.03+62)*1%)+91.22</f>
        <v>128.12029999999999</v>
      </c>
      <c r="AB15" s="18">
        <v>50</v>
      </c>
      <c r="AC15" s="18"/>
      <c r="AD15" s="18"/>
      <c r="AE15" s="18"/>
      <c r="AF15" s="18">
        <f>713.08+((10884.08+62)*24.75%)</f>
        <v>3422.2347999999997</v>
      </c>
      <c r="AG15" s="18"/>
      <c r="AH15" s="18">
        <f>+((10946.08)*8%)</f>
        <v>875.68640000000005</v>
      </c>
      <c r="AI15" s="18"/>
      <c r="AJ15" s="18">
        <v>1892.58</v>
      </c>
      <c r="AK15" s="18">
        <f>+((10946.08)*1%)</f>
        <v>109.46080000000001</v>
      </c>
      <c r="AL15" s="18">
        <v>50</v>
      </c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>
        <v>8290.42</v>
      </c>
      <c r="AY15" s="18"/>
      <c r="AZ15" s="18"/>
      <c r="BA15" s="18"/>
      <c r="BB15" s="18"/>
      <c r="BC15" s="18"/>
      <c r="BD15" s="18"/>
      <c r="BE15" s="18"/>
      <c r="BF15" s="18"/>
      <c r="BG15" s="18"/>
      <c r="BH15" s="18">
        <v>8653.4</v>
      </c>
      <c r="BI15" s="18"/>
      <c r="BJ15" s="18">
        <f>713.08+(10946.08*25.5%)</f>
        <v>3504.3303999999998</v>
      </c>
      <c r="BK15" s="18"/>
      <c r="BL15" s="18">
        <f>(10946.08*8%)</f>
        <v>875.68640000000005</v>
      </c>
      <c r="BM15" s="18"/>
      <c r="BN15" s="18">
        <v>1892.58</v>
      </c>
      <c r="BO15" s="18">
        <f>(10946.08*1%)</f>
        <v>109.46080000000001</v>
      </c>
      <c r="BP15" s="18">
        <v>50</v>
      </c>
      <c r="BQ15" s="18"/>
      <c r="BR15" s="18">
        <v>8471.91</v>
      </c>
      <c r="BS15" s="18"/>
      <c r="BT15" s="18">
        <f>713.08+(11446.74*25.5%)</f>
        <v>3631.9987000000001</v>
      </c>
      <c r="BU15" s="18"/>
      <c r="BV15" s="18">
        <f>(11446.74*8%)</f>
        <v>915.73919999999998</v>
      </c>
      <c r="BW15" s="18"/>
      <c r="BX15" s="18">
        <v>2030.26</v>
      </c>
      <c r="BY15" s="18">
        <f>(11446.74*1%)</f>
        <v>114.4674</v>
      </c>
      <c r="BZ15" s="18">
        <v>50</v>
      </c>
      <c r="CA15" s="18"/>
      <c r="CB15" s="18">
        <v>8600.82</v>
      </c>
      <c r="CC15" s="18">
        <v>3081.1000000000013</v>
      </c>
      <c r="CD15" s="18"/>
      <c r="CE15" s="18">
        <f>713.08+(11196.41*25.5%)</f>
        <v>3568.16455</v>
      </c>
      <c r="CF15" s="18"/>
      <c r="CG15" s="18">
        <f>(11196.41*8%)</f>
        <v>895.71280000000002</v>
      </c>
      <c r="CH15" s="18"/>
      <c r="CI15" s="18">
        <v>1961.42</v>
      </c>
      <c r="CJ15" s="18">
        <f>(11196.41*1%)</f>
        <v>111.9641</v>
      </c>
      <c r="CK15" s="18">
        <v>50</v>
      </c>
      <c r="CL15" s="18"/>
      <c r="CM15" s="18">
        <v>8504.14</v>
      </c>
      <c r="CN15" s="18">
        <v>3579.5</v>
      </c>
      <c r="CO15" s="18"/>
      <c r="CP15" s="18">
        <v>3613.51</v>
      </c>
      <c r="CQ15" s="18"/>
      <c r="CR15" s="18">
        <v>909.93</v>
      </c>
      <c r="CS15" s="18">
        <v>461.43</v>
      </c>
      <c r="CT15" s="18">
        <v>2010.31</v>
      </c>
      <c r="CU15" s="18">
        <v>113.74</v>
      </c>
      <c r="CV15" s="18">
        <v>50</v>
      </c>
      <c r="CW15" s="18"/>
      <c r="CX15" s="18">
        <v>8475.94</v>
      </c>
      <c r="CY15" s="18">
        <v>1663.71</v>
      </c>
      <c r="CZ15" s="18">
        <v>33.65</v>
      </c>
      <c r="DA15" s="18"/>
      <c r="DB15" s="18">
        <v>3579.5</v>
      </c>
      <c r="DC15" s="18"/>
      <c r="DD15" s="18">
        <v>899.27</v>
      </c>
      <c r="DE15" s="18"/>
      <c r="DF15" s="18">
        <v>1973.64</v>
      </c>
      <c r="DG15" s="18">
        <v>112.4</v>
      </c>
      <c r="DH15" s="18">
        <v>50</v>
      </c>
      <c r="DI15" s="18"/>
      <c r="DJ15" s="22">
        <v>11176.86</v>
      </c>
      <c r="DK15" s="7">
        <f t="shared" si="2"/>
        <v>16788.110000000004</v>
      </c>
    </row>
    <row r="16" spans="1:115" x14ac:dyDescent="0.25">
      <c r="A16" s="4">
        <v>2</v>
      </c>
      <c r="B16" s="9" t="s">
        <v>16</v>
      </c>
      <c r="C16" s="9" t="s">
        <v>4</v>
      </c>
      <c r="D16" s="8">
        <v>42555</v>
      </c>
      <c r="E16" s="2" t="s">
        <v>6</v>
      </c>
      <c r="F16" s="3">
        <v>803.43</v>
      </c>
      <c r="G16" s="3">
        <v>292.55</v>
      </c>
      <c r="H16" s="18">
        <v>69.86</v>
      </c>
      <c r="I16" s="3"/>
      <c r="J16" s="3">
        <v>8.732899999999999</v>
      </c>
      <c r="K16" s="18"/>
      <c r="L16" s="18"/>
      <c r="M16" s="11">
        <v>69.86</v>
      </c>
      <c r="N16" s="18">
        <v>2278.5499999999997</v>
      </c>
      <c r="O16" s="18">
        <v>1605.06</v>
      </c>
      <c r="P16" s="18"/>
      <c r="Q16" s="18"/>
      <c r="R16" s="18"/>
      <c r="S16" s="18"/>
      <c r="T16" s="18">
        <f>1547.12+1800.27</f>
        <v>3347.39</v>
      </c>
      <c r="U16" s="18"/>
      <c r="V16" s="18">
        <f>331.61+((2578.53+62)*24.75%)</f>
        <v>985.14117500000009</v>
      </c>
      <c r="W16" s="18">
        <v>573.79</v>
      </c>
      <c r="X16" s="18">
        <f>((2578.53+62)*8%)</f>
        <v>211.24240000000003</v>
      </c>
      <c r="Y16" s="18">
        <v>139.72</v>
      </c>
      <c r="Z16" s="18">
        <v>30.37</v>
      </c>
      <c r="AA16" s="19">
        <f t="shared" ref="AA16" si="11">((2578.53+62)*1%)+17.47</f>
        <v>43.875300000000003</v>
      </c>
      <c r="AB16" s="18"/>
      <c r="AC16" s="18"/>
      <c r="AD16" s="18"/>
      <c r="AE16" s="18"/>
      <c r="AF16" s="18">
        <f>409.1+((3867.8+62)*24.75%)</f>
        <v>1381.7255</v>
      </c>
      <c r="AG16" s="18"/>
      <c r="AH16" s="18">
        <f>((3929.8)*8%)</f>
        <v>314.38400000000001</v>
      </c>
      <c r="AI16" s="18"/>
      <c r="AJ16" s="18">
        <v>173.31</v>
      </c>
      <c r="AK16" s="18">
        <f>((3929.8)*1%)</f>
        <v>39.298000000000002</v>
      </c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>
        <f>1547.12+1800.27</f>
        <v>3347.39</v>
      </c>
      <c r="AY16" s="18"/>
      <c r="AZ16" s="18"/>
      <c r="BA16" s="18"/>
      <c r="BB16" s="18"/>
      <c r="BC16" s="18"/>
      <c r="BD16" s="18"/>
      <c r="BE16" s="18"/>
      <c r="BF16" s="18"/>
      <c r="BG16" s="18"/>
      <c r="BH16" s="18">
        <f>1547.12+1930.33</f>
        <v>3477.45</v>
      </c>
      <c r="BI16" s="18"/>
      <c r="BJ16" s="18">
        <f>409.1+(3929.8*25.5%)</f>
        <v>1411.1990000000001</v>
      </c>
      <c r="BK16" s="18"/>
      <c r="BL16" s="18">
        <f>(3929.8*8%)</f>
        <v>314.38400000000001</v>
      </c>
      <c r="BM16" s="18"/>
      <c r="BN16" s="18">
        <v>173.31</v>
      </c>
      <c r="BO16" s="18">
        <f>(3929.8*1%)</f>
        <v>39.298000000000002</v>
      </c>
      <c r="BP16" s="18"/>
      <c r="BQ16" s="18"/>
      <c r="BR16" s="18">
        <f>1582.7+1829.72</f>
        <v>3412.42</v>
      </c>
      <c r="BS16" s="18"/>
      <c r="BT16" s="18">
        <f>434.01+(4107.72*25.5%)</f>
        <v>1481.4786000000001</v>
      </c>
      <c r="BU16" s="18"/>
      <c r="BV16" s="18">
        <f>(4107.72*8%)</f>
        <v>328.61760000000004</v>
      </c>
      <c r="BW16" s="18"/>
      <c r="BX16" s="18">
        <v>196.26</v>
      </c>
      <c r="BY16" s="18">
        <f>(4107.72*1%)</f>
        <v>41.077200000000005</v>
      </c>
      <c r="BZ16" s="18"/>
      <c r="CA16" s="18"/>
      <c r="CB16" s="18">
        <f>1582.7+1879.67</f>
        <v>3462.37</v>
      </c>
      <c r="CC16" s="18">
        <v>1997.8641666666667</v>
      </c>
      <c r="CD16" s="18"/>
      <c r="CE16" s="18">
        <f>421.56+(4018.76*25.5%)</f>
        <v>1446.3438000000001</v>
      </c>
      <c r="CF16" s="18"/>
      <c r="CG16" s="18">
        <f>(4018.76*8%)</f>
        <v>321.50080000000003</v>
      </c>
      <c r="CH16" s="18"/>
      <c r="CI16" s="18">
        <v>184.78</v>
      </c>
      <c r="CJ16" s="18">
        <f>(4018.76*1%)</f>
        <v>40.187600000000003</v>
      </c>
      <c r="CK16" s="18"/>
      <c r="CL16" s="18"/>
      <c r="CM16" s="18">
        <v>3424.9100000000003</v>
      </c>
      <c r="CN16" s="18">
        <v>847.63000000000011</v>
      </c>
      <c r="CO16" s="18"/>
      <c r="CP16" s="18">
        <v>1473.34</v>
      </c>
      <c r="CQ16" s="18"/>
      <c r="CR16" s="18">
        <v>326.95999999999998</v>
      </c>
      <c r="CS16" s="18">
        <v>188.34</v>
      </c>
      <c r="CT16" s="18">
        <v>193.59</v>
      </c>
      <c r="CU16" s="18">
        <v>40.869999999999997</v>
      </c>
      <c r="CV16" s="18"/>
      <c r="CW16" s="18"/>
      <c r="CX16" s="18">
        <v>3431.41</v>
      </c>
      <c r="CY16" s="18">
        <v>109.07</v>
      </c>
      <c r="CZ16">
        <v>23.54</v>
      </c>
      <c r="DA16" s="18"/>
      <c r="DB16" s="18">
        <v>1453.09</v>
      </c>
      <c r="DC16" s="18"/>
      <c r="DD16" s="18">
        <v>322.87</v>
      </c>
      <c r="DE16" s="18"/>
      <c r="DF16" s="23">
        <v>186.98</v>
      </c>
      <c r="DG16" s="18">
        <v>40.35</v>
      </c>
      <c r="DH16" s="18"/>
      <c r="DI16" s="18"/>
      <c r="DJ16" s="22">
        <v>3971.84</v>
      </c>
      <c r="DK16" s="7">
        <f t="shared" si="2"/>
        <v>5567.3099999999995</v>
      </c>
    </row>
    <row r="17" spans="1:115" hidden="1" x14ac:dyDescent="0.25">
      <c r="A17" s="4">
        <v>1</v>
      </c>
      <c r="B17" s="9" t="s">
        <v>41</v>
      </c>
      <c r="C17" s="9" t="s">
        <v>30</v>
      </c>
      <c r="D17" s="8">
        <v>42583</v>
      </c>
      <c r="E17" s="2" t="s">
        <v>120</v>
      </c>
      <c r="F17" s="3"/>
      <c r="G17" s="3"/>
      <c r="H17" s="18"/>
      <c r="I17" s="3"/>
      <c r="J17" s="3"/>
      <c r="K17" s="18"/>
      <c r="L17" s="18"/>
      <c r="M17" s="18"/>
      <c r="N17" s="18">
        <v>2323.5500000000002</v>
      </c>
      <c r="O17" s="18"/>
      <c r="P17" s="18"/>
      <c r="Q17" s="18"/>
      <c r="R17" s="18"/>
      <c r="S17" s="18"/>
      <c r="T17" s="18">
        <v>1077.92</v>
      </c>
      <c r="U17" s="18"/>
      <c r="V17" s="18">
        <f>252.44+(2756.8*24.75%)</f>
        <v>934.74800000000005</v>
      </c>
      <c r="W17" s="18"/>
      <c r="X17" s="18">
        <f>(2756.8*8%)</f>
        <v>220.54400000000001</v>
      </c>
      <c r="Y17" s="18"/>
      <c r="Z17" s="18">
        <v>30.81</v>
      </c>
      <c r="AA17" s="18">
        <f t="shared" ref="AA17" si="12">(2756.8*1%)</f>
        <v>27.568000000000001</v>
      </c>
      <c r="AB17" s="18">
        <v>150</v>
      </c>
      <c r="AC17" s="18"/>
      <c r="AD17" s="18"/>
      <c r="AE17" s="18"/>
      <c r="AF17" s="19"/>
      <c r="AG17" s="18"/>
      <c r="AH17" s="19"/>
      <c r="AI17" s="18"/>
      <c r="AJ17" s="19"/>
      <c r="AK17" s="19"/>
      <c r="AL17" s="18">
        <v>150</v>
      </c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U17" s="18"/>
      <c r="CV17" s="18"/>
      <c r="CW17" s="18"/>
      <c r="DA17" s="18"/>
      <c r="DC17" s="18"/>
      <c r="DE17" s="18"/>
      <c r="DF17" s="23"/>
      <c r="DG17" s="23"/>
      <c r="DH17" s="18"/>
      <c r="DI17" s="18"/>
      <c r="DJ17" s="22">
        <v>2694.7984499999998</v>
      </c>
      <c r="DK17" s="7">
        <f t="shared" si="2"/>
        <v>0</v>
      </c>
    </row>
    <row r="18" spans="1:115" x14ac:dyDescent="0.25">
      <c r="A18" s="4">
        <v>1</v>
      </c>
      <c r="B18" s="9" t="s">
        <v>42</v>
      </c>
      <c r="C18" s="9" t="s">
        <v>43</v>
      </c>
      <c r="D18" s="8">
        <v>40575</v>
      </c>
      <c r="E18" s="2" t="s">
        <v>6</v>
      </c>
      <c r="F18" s="3"/>
      <c r="G18" s="3"/>
      <c r="H18" s="18"/>
      <c r="I18" s="3"/>
      <c r="J18" s="3"/>
      <c r="K18" s="18"/>
      <c r="L18" s="18"/>
      <c r="M18" s="18"/>
      <c r="N18" s="18">
        <v>3900.19</v>
      </c>
      <c r="O18" s="18"/>
      <c r="P18" s="18"/>
      <c r="Q18" s="18"/>
      <c r="R18" s="18"/>
      <c r="S18" s="18"/>
      <c r="T18" s="18">
        <f>1768.88+2131.31</f>
        <v>3900.19</v>
      </c>
      <c r="U18" s="18"/>
      <c r="V18" s="18">
        <f>504.08+(4608.21*24.75%)</f>
        <v>1644.611975</v>
      </c>
      <c r="W18" s="18"/>
      <c r="X18" s="18">
        <f>(4608.21*8%)</f>
        <v>368.65680000000003</v>
      </c>
      <c r="Y18" s="18"/>
      <c r="Z18" s="18">
        <v>203.94</v>
      </c>
      <c r="AA18" s="18">
        <f t="shared" ref="AA18" si="13">(4608.21*1%)</f>
        <v>46.082100000000004</v>
      </c>
      <c r="AB18" s="18"/>
      <c r="AC18" s="18"/>
      <c r="AD18" s="18">
        <f>1768.88+2131.31</f>
        <v>3900.19</v>
      </c>
      <c r="AE18" s="18"/>
      <c r="AF18" s="18">
        <f>504.08+(4608.21*24.75%)</f>
        <v>1644.611975</v>
      </c>
      <c r="AG18" s="18"/>
      <c r="AH18" s="18">
        <f>(4608.21*8%)</f>
        <v>368.65680000000003</v>
      </c>
      <c r="AI18" s="18"/>
      <c r="AJ18" s="18">
        <v>203.94</v>
      </c>
      <c r="AK18" s="18">
        <f>(4608.21*1%)</f>
        <v>46.082100000000004</v>
      </c>
      <c r="AL18" s="18"/>
      <c r="AM18" s="18"/>
      <c r="AN18" s="18">
        <f>1768.88+2131.31</f>
        <v>3900.19</v>
      </c>
      <c r="AO18" s="18"/>
      <c r="AP18" s="18">
        <f>504.08+(4608.21*24.75%)</f>
        <v>1644.611975</v>
      </c>
      <c r="AQ18" s="18"/>
      <c r="AR18" s="18">
        <f>(4608.21*8%)</f>
        <v>368.65680000000003</v>
      </c>
      <c r="AS18" s="18"/>
      <c r="AT18" s="18">
        <v>203.94</v>
      </c>
      <c r="AU18" s="18">
        <f>(4608.21*1%)</f>
        <v>46.082100000000004</v>
      </c>
      <c r="AV18" s="18"/>
      <c r="AW18" s="18"/>
      <c r="AX18" s="18">
        <f>1768.88+2131.31</f>
        <v>3900.19</v>
      </c>
      <c r="AY18" s="18"/>
      <c r="AZ18" s="18">
        <f>504.08+(4608.21*25.5%)</f>
        <v>1679.17355</v>
      </c>
      <c r="BA18" s="18"/>
      <c r="BB18" s="18">
        <f>(4608.21*8%)</f>
        <v>368.65680000000003</v>
      </c>
      <c r="BC18" s="18"/>
      <c r="BD18" s="18">
        <v>203.94</v>
      </c>
      <c r="BE18" s="18">
        <f>(4608.21*1%)</f>
        <v>46.082100000000004</v>
      </c>
      <c r="BF18" s="18"/>
      <c r="BG18" s="18"/>
      <c r="BH18" s="18">
        <f>1768.88+2268.84</f>
        <v>4037.7200000000003</v>
      </c>
      <c r="BI18" s="18"/>
      <c r="BJ18" s="18">
        <f>504.08+(4608.21*25.5%)</f>
        <v>1679.17355</v>
      </c>
      <c r="BK18" s="18"/>
      <c r="BL18" s="18">
        <f>(4608.21*8%)</f>
        <v>368.65680000000003</v>
      </c>
      <c r="BM18" s="18"/>
      <c r="BN18" s="18">
        <v>203.94</v>
      </c>
      <c r="BO18" s="18">
        <f>(4608.21*1%)</f>
        <v>46.082100000000004</v>
      </c>
      <c r="BP18" s="18"/>
      <c r="BQ18" s="18"/>
      <c r="BR18" s="18">
        <f>1809.57+2160.37</f>
        <v>3969.9399999999996</v>
      </c>
      <c r="BS18" s="18"/>
      <c r="BT18" s="18">
        <f>532.56+(4811.63*25.5%)</f>
        <v>1759.52565</v>
      </c>
      <c r="BU18" s="18"/>
      <c r="BV18" s="18">
        <f>(4811.63*8%)</f>
        <v>384.93040000000002</v>
      </c>
      <c r="BW18" s="18"/>
      <c r="BX18" s="18">
        <v>241.35</v>
      </c>
      <c r="BY18" s="18">
        <f>(4811.63*1%)</f>
        <v>48.116300000000003</v>
      </c>
      <c r="BZ18" s="18"/>
      <c r="CA18" s="18"/>
      <c r="CB18" s="18">
        <f>1809.57+416.85</f>
        <v>2226.42</v>
      </c>
      <c r="CC18" s="18">
        <v>2324.84</v>
      </c>
      <c r="CD18" s="19">
        <v>1895.09</v>
      </c>
      <c r="CE18" s="18">
        <f>518.32+(4709.92*25.5%)</f>
        <v>1719.3496</v>
      </c>
      <c r="CF18" s="18"/>
      <c r="CG18" s="18">
        <f>(4709.92*8%)</f>
        <v>376.79360000000003</v>
      </c>
      <c r="CH18" s="18"/>
      <c r="CI18" s="18">
        <v>221.66</v>
      </c>
      <c r="CJ18" s="18">
        <f>(4709.92*1%)</f>
        <v>47.099200000000003</v>
      </c>
      <c r="CK18" s="18"/>
      <c r="CL18" s="18"/>
      <c r="CM18" s="18">
        <v>3425.3300000000004</v>
      </c>
      <c r="CN18" s="18">
        <v>1008.3100000000001</v>
      </c>
      <c r="CO18" s="18"/>
      <c r="CP18" s="18">
        <v>971.15</v>
      </c>
      <c r="CQ18" s="19">
        <v>379.59</v>
      </c>
      <c r="CR18" s="18">
        <v>203.82999999999996</v>
      </c>
      <c r="CS18" s="19">
        <f>220.88+84.41</f>
        <v>305.28999999999996</v>
      </c>
      <c r="CT18" s="19">
        <v>49.85</v>
      </c>
      <c r="CU18" s="19">
        <f>25.48+10.54</f>
        <v>36.019999999999996</v>
      </c>
      <c r="CV18" s="18"/>
      <c r="CW18" s="18"/>
      <c r="CX18" s="18">
        <v>3991.36</v>
      </c>
      <c r="CY18" s="18">
        <v>131.93</v>
      </c>
      <c r="CZ18" s="18">
        <v>27.61</v>
      </c>
      <c r="DA18" s="18"/>
      <c r="DB18" s="18">
        <v>1468.45</v>
      </c>
      <c r="DC18" s="19">
        <v>126.05</v>
      </c>
      <c r="DD18" s="18">
        <v>318.83</v>
      </c>
      <c r="DE18" s="19">
        <v>27.91</v>
      </c>
      <c r="DF18" s="18">
        <v>118.32</v>
      </c>
      <c r="DG18" s="19">
        <f>39.84+3.49</f>
        <v>43.330000000000005</v>
      </c>
      <c r="DH18" s="18"/>
      <c r="DI18" s="18"/>
      <c r="DJ18" s="22">
        <v>4541.17</v>
      </c>
      <c r="DK18" s="7">
        <f t="shared" si="2"/>
        <v>6253.7899999999991</v>
      </c>
    </row>
    <row r="19" spans="1:115" x14ac:dyDescent="0.25">
      <c r="A19" s="4">
        <v>1</v>
      </c>
      <c r="B19" s="9" t="s">
        <v>45</v>
      </c>
      <c r="C19" s="9" t="s">
        <v>44</v>
      </c>
      <c r="D19" s="8">
        <v>39753</v>
      </c>
      <c r="E19" s="2" t="s">
        <v>6</v>
      </c>
      <c r="F19" s="3"/>
      <c r="G19" s="3"/>
      <c r="H19" s="18"/>
      <c r="I19" s="3"/>
      <c r="J19" s="3"/>
      <c r="K19" s="18"/>
      <c r="L19" s="18"/>
      <c r="M19" s="18"/>
      <c r="N19" s="18">
        <v>7255.75</v>
      </c>
      <c r="O19" s="18"/>
      <c r="P19" s="18"/>
      <c r="Q19" s="18"/>
      <c r="R19" s="18"/>
      <c r="S19" s="18"/>
      <c r="T19" s="18">
        <f>3789.53+3466.22</f>
        <v>7255.75</v>
      </c>
      <c r="U19" s="18"/>
      <c r="V19" s="18">
        <f>713.08+(9659.83*24.75%)</f>
        <v>3103.887925</v>
      </c>
      <c r="W19" s="18"/>
      <c r="X19" s="18">
        <f>(9659.83*8%)</f>
        <v>772.78639999999996</v>
      </c>
      <c r="Y19" s="18"/>
      <c r="Z19" s="18">
        <v>1591</v>
      </c>
      <c r="AA19" s="18">
        <f t="shared" ref="AA19" si="14">(9659.83*1%)</f>
        <v>96.598299999999995</v>
      </c>
      <c r="AB19" s="18">
        <v>100</v>
      </c>
      <c r="AC19" s="18"/>
      <c r="AD19" s="18"/>
      <c r="AE19" s="18"/>
      <c r="AF19" s="18">
        <f>713.08+(9659.83*24.75%)</f>
        <v>3103.887925</v>
      </c>
      <c r="AG19" s="18"/>
      <c r="AH19" s="18">
        <f>(9659.83*8%)</f>
        <v>772.78639999999996</v>
      </c>
      <c r="AI19" s="18"/>
      <c r="AJ19" s="18">
        <v>1591</v>
      </c>
      <c r="AK19" s="18">
        <f>(9659.83*1%)</f>
        <v>96.598299999999995</v>
      </c>
      <c r="AL19" s="18">
        <v>100</v>
      </c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>
        <f>3789.53+3237.27</f>
        <v>7026.8</v>
      </c>
      <c r="AY19" s="18"/>
      <c r="AZ19" s="18"/>
      <c r="BA19" s="18"/>
      <c r="BB19" s="18"/>
      <c r="BC19" s="18"/>
      <c r="BD19" s="18"/>
      <c r="BE19" s="18"/>
      <c r="BF19" s="18"/>
      <c r="BG19" s="18"/>
      <c r="BH19" s="18">
        <f>3789.53+3782.18</f>
        <v>7571.71</v>
      </c>
      <c r="BI19" s="18"/>
      <c r="BJ19" s="18">
        <f>713.08+(9344.03*25.5%)</f>
        <v>3095.8076500000002</v>
      </c>
      <c r="BK19" s="18"/>
      <c r="BL19" s="18">
        <f>(9344.03*8%)</f>
        <v>747.52240000000006</v>
      </c>
      <c r="BM19" s="18"/>
      <c r="BN19" s="18">
        <v>1504.15</v>
      </c>
      <c r="BO19" s="18">
        <f>(9344.03*1%)</f>
        <v>93.440300000000008</v>
      </c>
      <c r="BP19" s="18">
        <v>100</v>
      </c>
      <c r="BQ19" s="18"/>
      <c r="BR19" s="18">
        <f>3876.69+3537.04</f>
        <v>7413.73</v>
      </c>
      <c r="BS19" s="18"/>
      <c r="BT19" s="18">
        <f>713.08+(10095.63*25.5%)</f>
        <v>3287.4656499999996</v>
      </c>
      <c r="BU19" s="18"/>
      <c r="BV19" s="18">
        <f>(10095.63*8%)</f>
        <v>807.65039999999999</v>
      </c>
      <c r="BW19" s="18"/>
      <c r="BX19" s="18">
        <v>1710.84</v>
      </c>
      <c r="BY19" s="18">
        <f>(10095.63*1%)</f>
        <v>100.9563</v>
      </c>
      <c r="BZ19" s="18">
        <v>100</v>
      </c>
      <c r="CA19" s="18"/>
      <c r="CB19" s="18">
        <f>3876.69+3707.99</f>
        <v>7584.68</v>
      </c>
      <c r="CC19" s="18">
        <v>4428.2408333333342</v>
      </c>
      <c r="CD19" s="18"/>
      <c r="CE19" s="18">
        <f>713.08+(9877.73*25.5%)</f>
        <v>3231.9011499999997</v>
      </c>
      <c r="CF19" s="18"/>
      <c r="CG19" s="18">
        <f>(9877.73*8%)</f>
        <v>790.21839999999997</v>
      </c>
      <c r="CH19" s="18"/>
      <c r="CI19" s="18">
        <v>1650.92</v>
      </c>
      <c r="CJ19" s="18">
        <f>(9877.73*1%)</f>
        <v>98.777299999999997</v>
      </c>
      <c r="CK19" s="18">
        <v>100</v>
      </c>
      <c r="CL19" s="18"/>
      <c r="CM19" s="18">
        <v>7491.27</v>
      </c>
      <c r="CN19" s="18">
        <v>1901.18</v>
      </c>
      <c r="CO19" s="18"/>
      <c r="CP19" s="18">
        <v>3292.04</v>
      </c>
      <c r="CQ19" s="18"/>
      <c r="CR19" s="18">
        <v>809.08</v>
      </c>
      <c r="CS19" s="18">
        <v>465.95</v>
      </c>
      <c r="CT19" s="18">
        <v>1715.76</v>
      </c>
      <c r="CU19" s="18">
        <v>101.13</v>
      </c>
      <c r="CV19" s="18">
        <v>100</v>
      </c>
      <c r="CW19" s="18"/>
      <c r="CX19" s="18">
        <v>7463.07</v>
      </c>
      <c r="CY19" s="18">
        <v>980.19</v>
      </c>
      <c r="CZ19">
        <v>58.24</v>
      </c>
      <c r="DA19" s="18"/>
      <c r="DB19" s="18">
        <v>3259.1699999999996</v>
      </c>
      <c r="DC19" s="18"/>
      <c r="DD19" s="18">
        <v>798.77</v>
      </c>
      <c r="DE19" s="18"/>
      <c r="DF19" s="18">
        <v>1680.33</v>
      </c>
      <c r="DG19" s="18">
        <v>99.84</v>
      </c>
      <c r="DH19" s="18">
        <v>100</v>
      </c>
      <c r="DI19" s="18"/>
      <c r="DJ19" s="22">
        <v>9728.68</v>
      </c>
      <c r="DK19" s="7">
        <f t="shared" si="2"/>
        <v>14439.61</v>
      </c>
    </row>
    <row r="20" spans="1:115" x14ac:dyDescent="0.25">
      <c r="A20" s="4">
        <v>3</v>
      </c>
      <c r="B20" s="9" t="s">
        <v>15</v>
      </c>
      <c r="C20" s="9" t="s">
        <v>7</v>
      </c>
      <c r="D20" s="8">
        <v>42552</v>
      </c>
      <c r="E20" s="2" t="s">
        <v>6</v>
      </c>
      <c r="F20" s="3">
        <v>8765.75</v>
      </c>
      <c r="G20" s="3">
        <v>2336.48</v>
      </c>
      <c r="H20" s="18">
        <v>548.29182222222221</v>
      </c>
      <c r="I20" s="3">
        <v>925.92</v>
      </c>
      <c r="J20" s="3">
        <v>77.11</v>
      </c>
      <c r="K20" s="18"/>
      <c r="L20" s="18"/>
      <c r="M20" s="11">
        <v>548.29182222222221</v>
      </c>
      <c r="N20" s="18">
        <v>6450.57</v>
      </c>
      <c r="O20" s="18"/>
      <c r="P20" s="18"/>
      <c r="Q20" s="18"/>
      <c r="R20" s="18"/>
      <c r="S20" s="18"/>
      <c r="T20" s="18">
        <f>3339.72+3110.85</f>
        <v>6450.57</v>
      </c>
      <c r="U20" s="18"/>
      <c r="V20" s="18">
        <f>713.08+(8411.3*24.75%)</f>
        <v>2794.8767499999999</v>
      </c>
      <c r="W20" s="18"/>
      <c r="X20" s="18">
        <f>(8411.3*8%)</f>
        <v>672.904</v>
      </c>
      <c r="Y20" s="18"/>
      <c r="Z20" s="18">
        <v>1247.6500000000001</v>
      </c>
      <c r="AA20" s="18">
        <f t="shared" ref="AA20" si="15">(8411.3*1%)</f>
        <v>84.113</v>
      </c>
      <c r="AB20" s="18"/>
      <c r="AC20" s="18"/>
      <c r="AD20" s="18"/>
      <c r="AE20" s="18"/>
      <c r="AF20" s="18">
        <f>713.08+(8411.3*24.75%)</f>
        <v>2794.8767499999999</v>
      </c>
      <c r="AG20" s="18"/>
      <c r="AH20" s="18">
        <f>(8411.3*8%)</f>
        <v>672.904</v>
      </c>
      <c r="AI20" s="18"/>
      <c r="AJ20" s="18">
        <v>1247.6500000000001</v>
      </c>
      <c r="AK20" s="18">
        <f>(8411.3*1%)</f>
        <v>84.113</v>
      </c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>
        <f>3339.72+3110.85</f>
        <v>6450.57</v>
      </c>
      <c r="AY20" s="18"/>
      <c r="AZ20" s="18"/>
      <c r="BA20" s="18"/>
      <c r="BB20" s="18"/>
      <c r="BC20" s="18"/>
      <c r="BD20" s="18"/>
      <c r="BE20" s="18"/>
      <c r="BF20" s="18"/>
      <c r="BG20" s="18"/>
      <c r="BH20" s="18">
        <f>3339.72+3389.29</f>
        <v>6729.01</v>
      </c>
      <c r="BI20" s="18"/>
      <c r="BJ20" s="18">
        <f>713.08+(8411.3*25.5%)</f>
        <v>2857.9614999999999</v>
      </c>
      <c r="BK20" s="18"/>
      <c r="BL20" s="18">
        <f>(8411.3*8%)</f>
        <v>672.904</v>
      </c>
      <c r="BM20" s="18"/>
      <c r="BN20" s="18">
        <v>1247.6500000000001</v>
      </c>
      <c r="BO20" s="18">
        <f>(8411.3*1%)</f>
        <v>84.113</v>
      </c>
      <c r="BP20" s="18"/>
      <c r="BQ20" s="18"/>
      <c r="BR20" s="18">
        <f>3416.53+3173.26</f>
        <v>6589.7900000000009</v>
      </c>
      <c r="BS20" s="18"/>
      <c r="BT20" s="18">
        <f>713.08+(8795.36*25.5%)</f>
        <v>2955.8968</v>
      </c>
      <c r="BU20" s="18"/>
      <c r="BV20" s="18">
        <f>(8795.36*8%)</f>
        <v>703.62880000000007</v>
      </c>
      <c r="BW20" s="18"/>
      <c r="BX20" s="18">
        <v>1353.27</v>
      </c>
      <c r="BY20" s="18">
        <f>(8795.36*1%)</f>
        <v>87.953600000000009</v>
      </c>
      <c r="BZ20" s="18"/>
      <c r="CA20" s="18"/>
      <c r="CB20" s="18">
        <f>3416.53+3273.49</f>
        <v>6690.02</v>
      </c>
      <c r="CC20" s="18">
        <v>3858.6624999999995</v>
      </c>
      <c r="CD20" s="18"/>
      <c r="CE20" s="18">
        <f>713.08+(8603.33*25.5%)</f>
        <v>2906.9291499999999</v>
      </c>
      <c r="CF20" s="18"/>
      <c r="CG20" s="18">
        <f>(8603.33*8%)</f>
        <v>688.26639999999998</v>
      </c>
      <c r="CH20" s="18"/>
      <c r="CI20" s="18">
        <v>1300.46</v>
      </c>
      <c r="CJ20" s="18">
        <f>(8603.33*1%)</f>
        <v>86.033299999999997</v>
      </c>
      <c r="CK20" s="18"/>
      <c r="CL20" s="18"/>
      <c r="CM20" s="18">
        <v>6614.8600000000006</v>
      </c>
      <c r="CN20" s="18">
        <v>1700.8500000000001</v>
      </c>
      <c r="CO20" s="18"/>
      <c r="CP20" s="18">
        <v>2942.19</v>
      </c>
      <c r="CQ20" s="18"/>
      <c r="CR20" s="18">
        <v>699.32</v>
      </c>
      <c r="CS20" s="18">
        <v>403.1</v>
      </c>
      <c r="CT20" s="18">
        <v>1338.47</v>
      </c>
      <c r="CU20" s="18">
        <v>87.42</v>
      </c>
      <c r="CV20" s="18"/>
      <c r="CW20" s="18"/>
      <c r="CX20" s="18">
        <v>2805.42</v>
      </c>
      <c r="CY20" s="18">
        <v>764.15</v>
      </c>
      <c r="CZ20" s="18">
        <v>50.39</v>
      </c>
      <c r="DA20" s="18"/>
      <c r="DB20" s="18">
        <v>2915.74</v>
      </c>
      <c r="DC20" s="18"/>
      <c r="DD20" s="18">
        <v>691.03</v>
      </c>
      <c r="DE20" s="18"/>
      <c r="DF20" s="18">
        <v>1309.96</v>
      </c>
      <c r="DG20" s="18">
        <v>86.37</v>
      </c>
      <c r="DH20" s="18"/>
      <c r="DI20" s="18"/>
      <c r="DJ20" s="22">
        <v>8573.9</v>
      </c>
      <c r="DK20" s="7">
        <f t="shared" si="2"/>
        <v>8623.06</v>
      </c>
    </row>
    <row r="21" spans="1:115" x14ac:dyDescent="0.25">
      <c r="A21" s="4">
        <v>1</v>
      </c>
      <c r="B21" s="9" t="s">
        <v>46</v>
      </c>
      <c r="C21" s="9" t="s">
        <v>47</v>
      </c>
      <c r="D21" s="8">
        <v>43752</v>
      </c>
      <c r="E21" s="2" t="s">
        <v>6</v>
      </c>
      <c r="F21" s="3"/>
      <c r="G21" s="3"/>
      <c r="H21" s="18"/>
      <c r="I21" s="3"/>
      <c r="J21" s="3"/>
      <c r="K21" s="18"/>
      <c r="L21" s="18"/>
      <c r="M21" s="18"/>
      <c r="N21" s="18">
        <v>2922.6400000000003</v>
      </c>
      <c r="O21" s="18"/>
      <c r="P21" s="18"/>
      <c r="Q21" s="18"/>
      <c r="R21" s="18"/>
      <c r="S21" s="18"/>
      <c r="T21" s="18">
        <f>1339.5+1583.14</f>
        <v>2922.6400000000003</v>
      </c>
      <c r="U21" s="18"/>
      <c r="V21" s="18">
        <f t="shared" ref="V21:V26" si="16">327.75+(3348.74*24.75%)</f>
        <v>1156.56315</v>
      </c>
      <c r="W21" s="18"/>
      <c r="X21" s="18">
        <f>(3348.74*8%)</f>
        <v>267.89920000000001</v>
      </c>
      <c r="Y21" s="18"/>
      <c r="Z21" s="18">
        <v>98.35</v>
      </c>
      <c r="AA21" s="18">
        <f t="shared" ref="AA21" si="17">(3348.74*1%)</f>
        <v>33.487400000000001</v>
      </c>
      <c r="AB21" s="18"/>
      <c r="AC21" s="18"/>
      <c r="AD21" s="18"/>
      <c r="AE21" s="18"/>
      <c r="AF21" s="18">
        <f t="shared" ref="AF21:AF26" si="18">327.75+(3348.74*24.75%)</f>
        <v>1156.56315</v>
      </c>
      <c r="AG21" s="18"/>
      <c r="AH21" s="18">
        <f>(3348.74*8%)</f>
        <v>267.89920000000001</v>
      </c>
      <c r="AI21" s="18"/>
      <c r="AJ21" s="18">
        <v>98.35</v>
      </c>
      <c r="AK21" s="18">
        <f>(3348.74*1%)</f>
        <v>33.487400000000001</v>
      </c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>
        <f>1339.5+1583.14</f>
        <v>2922.6400000000003</v>
      </c>
      <c r="AY21" s="18"/>
      <c r="AZ21" s="18"/>
      <c r="BA21" s="18"/>
      <c r="BB21" s="18"/>
      <c r="BC21" s="18"/>
      <c r="BD21" s="18"/>
      <c r="BE21" s="18"/>
      <c r="BF21" s="18"/>
      <c r="BG21" s="18"/>
      <c r="BH21" s="18">
        <f>1339.5+1695.74</f>
        <v>3035.24</v>
      </c>
      <c r="BI21" s="18"/>
      <c r="BJ21" s="18">
        <f>327.75+(3348.74*25.5%)</f>
        <v>1181.6786999999999</v>
      </c>
      <c r="BK21" s="18"/>
      <c r="BL21" s="18">
        <f>(3348.74*8%)</f>
        <v>267.89920000000001</v>
      </c>
      <c r="BM21" s="18"/>
      <c r="BN21" s="18">
        <v>98.35</v>
      </c>
      <c r="BO21" s="18">
        <f>(3348.74*1%)</f>
        <v>33.487400000000001</v>
      </c>
      <c r="BP21" s="18"/>
      <c r="BQ21" s="18"/>
      <c r="BR21" s="18">
        <f>1370.3+1608.64</f>
        <v>2978.94</v>
      </c>
      <c r="BS21" s="18"/>
      <c r="BT21" s="18">
        <f>349.32+(3502.78*25.5%)</f>
        <v>1242.5289</v>
      </c>
      <c r="BU21" s="18"/>
      <c r="BV21" s="18">
        <f>(3502.78*8%)</f>
        <v>280.22240000000005</v>
      </c>
      <c r="BW21" s="18"/>
      <c r="BX21" s="18">
        <v>118.22</v>
      </c>
      <c r="BY21" s="18">
        <f>(3502.78*1%)</f>
        <v>35.027800000000006</v>
      </c>
      <c r="BZ21" s="18"/>
      <c r="CA21" s="18"/>
      <c r="CB21" s="18">
        <f>1370.3+1646.83</f>
        <v>3017.13</v>
      </c>
      <c r="CC21" s="18">
        <v>1743.2858333333334</v>
      </c>
      <c r="CD21" s="18"/>
      <c r="CE21" s="18">
        <f>338.54+(3425.76*25.5%)</f>
        <v>1212.1088000000002</v>
      </c>
      <c r="CF21" s="18"/>
      <c r="CG21" s="18">
        <f>(3425.76*8%)</f>
        <v>274.06080000000003</v>
      </c>
      <c r="CH21" s="18"/>
      <c r="CI21" s="18">
        <v>108.28</v>
      </c>
      <c r="CJ21" s="18">
        <f>(3425.76*1%)</f>
        <v>34.257600000000004</v>
      </c>
      <c r="CK21" s="18"/>
      <c r="CL21" s="18"/>
      <c r="CM21" s="18">
        <v>2988.4900000000002</v>
      </c>
      <c r="CN21" s="18">
        <v>710.06999999999994</v>
      </c>
      <c r="CO21" s="18"/>
      <c r="CP21" s="18">
        <v>1232.75</v>
      </c>
      <c r="CQ21" s="18"/>
      <c r="CR21" s="18">
        <v>278.24</v>
      </c>
      <c r="CS21" s="18">
        <v>160.47999999999999</v>
      </c>
      <c r="CT21" s="18">
        <v>115.02</v>
      </c>
      <c r="CU21" s="18">
        <v>34.78</v>
      </c>
      <c r="CV21" s="18"/>
      <c r="CW21" s="18"/>
      <c r="CX21" s="18">
        <v>2994.99</v>
      </c>
      <c r="CY21" s="18">
        <v>64.150000000000006</v>
      </c>
      <c r="CZ21" s="18">
        <v>20.059999999999999</v>
      </c>
      <c r="DA21" s="18"/>
      <c r="DB21" s="18">
        <v>1217.27</v>
      </c>
      <c r="DC21" s="18"/>
      <c r="DD21" s="18">
        <v>275.10000000000002</v>
      </c>
      <c r="DE21" s="18"/>
      <c r="DF21" s="18">
        <v>109.97</v>
      </c>
      <c r="DG21" s="18">
        <v>34.39</v>
      </c>
      <c r="DH21" s="18"/>
      <c r="DI21" s="18"/>
      <c r="DJ21" s="22">
        <v>3438.82</v>
      </c>
      <c r="DK21" s="7">
        <f t="shared" si="2"/>
        <v>4715.93</v>
      </c>
    </row>
    <row r="22" spans="1:115" x14ac:dyDescent="0.25">
      <c r="A22" s="4">
        <v>1</v>
      </c>
      <c r="B22" s="9" t="s">
        <v>48</v>
      </c>
      <c r="C22" s="9" t="s">
        <v>49</v>
      </c>
      <c r="D22" s="8">
        <v>43587</v>
      </c>
      <c r="E22" s="2" t="s">
        <v>6</v>
      </c>
      <c r="F22" s="3"/>
      <c r="G22" s="3"/>
      <c r="H22" s="18"/>
      <c r="I22" s="3"/>
      <c r="J22" s="3"/>
      <c r="K22" s="18"/>
      <c r="L22" s="18"/>
      <c r="M22" s="18"/>
      <c r="N22" s="18">
        <v>3685.5200000000004</v>
      </c>
      <c r="O22" s="18"/>
      <c r="P22" s="18"/>
      <c r="Q22" s="18"/>
      <c r="R22" s="18"/>
      <c r="S22" s="18"/>
      <c r="T22" s="18">
        <f>1768.88+1916.64</f>
        <v>3685.5200000000004</v>
      </c>
      <c r="U22" s="18"/>
      <c r="V22" s="18">
        <f>478.04+(4422.21*24.75%)</f>
        <v>1572.536975</v>
      </c>
      <c r="W22" s="18"/>
      <c r="X22" s="18">
        <f>(4422.21*8%)</f>
        <v>353.77680000000004</v>
      </c>
      <c r="Y22" s="18"/>
      <c r="Z22" s="18">
        <v>208.65</v>
      </c>
      <c r="AA22" s="18">
        <f t="shared" ref="AA22" si="19">(4422.21*1%)</f>
        <v>44.222100000000005</v>
      </c>
      <c r="AB22" s="18">
        <v>50</v>
      </c>
      <c r="AC22" s="18"/>
      <c r="AD22" s="18">
        <f>1768.88+1916.64</f>
        <v>3685.5200000000004</v>
      </c>
      <c r="AE22" s="18"/>
      <c r="AF22" s="18">
        <f>478.04+(4422.21*24.75%)</f>
        <v>1572.536975</v>
      </c>
      <c r="AG22" s="18"/>
      <c r="AH22" s="18">
        <f>(4422.21*8%)</f>
        <v>353.77680000000004</v>
      </c>
      <c r="AI22" s="18"/>
      <c r="AJ22" s="18">
        <v>208.65</v>
      </c>
      <c r="AK22" s="18">
        <f>(4422.21*1%)</f>
        <v>44.222100000000005</v>
      </c>
      <c r="AL22" s="18">
        <v>50</v>
      </c>
      <c r="AM22" s="18"/>
      <c r="AN22" s="18">
        <f>1768.88+1916.64</f>
        <v>3685.5200000000004</v>
      </c>
      <c r="AO22" s="18"/>
      <c r="AP22" s="18">
        <f>478.04+(4422.21*24.75%)</f>
        <v>1572.536975</v>
      </c>
      <c r="AQ22" s="18"/>
      <c r="AR22" s="18">
        <f>(4422.21*8%)</f>
        <v>353.77680000000004</v>
      </c>
      <c r="AS22" s="18"/>
      <c r="AT22" s="18">
        <v>208.65</v>
      </c>
      <c r="AU22" s="18">
        <f>(4422.21*1%)</f>
        <v>44.222100000000005</v>
      </c>
      <c r="AV22" s="18">
        <v>50</v>
      </c>
      <c r="AW22" s="18"/>
      <c r="AX22" s="18">
        <f>1768.88+1916.64</f>
        <v>3685.5200000000004</v>
      </c>
      <c r="AY22" s="18"/>
      <c r="AZ22" s="18">
        <f>478.04+(4422.21*25.5%)</f>
        <v>1605.70355</v>
      </c>
      <c r="BA22" s="18"/>
      <c r="BB22" s="18">
        <f>(4422.21*8%)</f>
        <v>353.77680000000004</v>
      </c>
      <c r="BC22" s="18"/>
      <c r="BD22" s="18">
        <v>208.65</v>
      </c>
      <c r="BE22" s="18">
        <f>(4422.21*1%)</f>
        <v>44.222100000000005</v>
      </c>
      <c r="BF22" s="18">
        <v>50</v>
      </c>
      <c r="BG22" s="18"/>
      <c r="BH22" s="18">
        <f>1768.88+2052.22</f>
        <v>3821.1</v>
      </c>
      <c r="BI22" s="18"/>
      <c r="BJ22" s="18">
        <f>478.04+(4422.21*25.5%)</f>
        <v>1605.70355</v>
      </c>
      <c r="BK22" s="18"/>
      <c r="BL22" s="18">
        <f>(4422.21*8%)</f>
        <v>353.77680000000004</v>
      </c>
      <c r="BM22" s="18"/>
      <c r="BN22" s="18">
        <v>208.65</v>
      </c>
      <c r="BO22" s="18">
        <f>(4422.21*1%)</f>
        <v>44.222100000000005</v>
      </c>
      <c r="BP22" s="18">
        <v>50</v>
      </c>
      <c r="BQ22" s="18"/>
      <c r="BR22" s="19">
        <v>1433.6</v>
      </c>
      <c r="BS22" s="19"/>
      <c r="BT22" s="18">
        <f>(506.52+(4625.63*25.5%))</f>
        <v>1686.05565</v>
      </c>
      <c r="BU22" s="18"/>
      <c r="BV22" s="18">
        <f>(4625.63*8%)</f>
        <v>370.05040000000002</v>
      </c>
      <c r="BW22" s="18"/>
      <c r="BX22" s="18">
        <v>248.01</v>
      </c>
      <c r="BY22" s="18">
        <f>(4625.63*1%)</f>
        <v>46.256300000000003</v>
      </c>
      <c r="BZ22" s="18">
        <v>50</v>
      </c>
      <c r="CA22" s="18"/>
      <c r="CB22" s="18">
        <f>1809.57+1943.98</f>
        <v>3753.55</v>
      </c>
      <c r="CC22" s="18">
        <v>2225.3058333333333</v>
      </c>
      <c r="CD22" s="18"/>
      <c r="CE22" s="19">
        <f>(225.17+(1658.77*25.5%))</f>
        <v>648.15634999999997</v>
      </c>
      <c r="CF22" s="18"/>
      <c r="CG22" s="19">
        <f>(1658.77*8%)</f>
        <v>132.70160000000001</v>
      </c>
      <c r="CH22" s="18"/>
      <c r="CI22" s="18">
        <v>0</v>
      </c>
      <c r="CJ22" s="19">
        <f>(1658.77*1%)</f>
        <v>16.587700000000002</v>
      </c>
      <c r="CK22" s="18"/>
      <c r="CL22" s="18"/>
      <c r="CM22" s="18">
        <v>3814.8100000000004</v>
      </c>
      <c r="CN22" s="18">
        <v>964.06999999999994</v>
      </c>
      <c r="CO22" s="18"/>
      <c r="CP22" s="18">
        <v>1622.14</v>
      </c>
      <c r="CQ22" s="18"/>
      <c r="CR22" s="18">
        <v>355.68</v>
      </c>
      <c r="CS22" s="18">
        <v>211.92</v>
      </c>
      <c r="CT22" s="18">
        <v>211.66</v>
      </c>
      <c r="CU22" s="18">
        <v>44.46</v>
      </c>
      <c r="CV22" s="18"/>
      <c r="CW22" s="18"/>
      <c r="CX22" s="18">
        <v>3820.74</v>
      </c>
      <c r="CY22" s="18">
        <v>135.13999999999999</v>
      </c>
      <c r="CZ22">
        <v>26.49</v>
      </c>
      <c r="DA22" s="18"/>
      <c r="DB22" s="18">
        <v>1652.7</v>
      </c>
      <c r="DC22" s="18"/>
      <c r="DD22" s="18">
        <v>363.29</v>
      </c>
      <c r="DE22" s="18"/>
      <c r="DF22" s="23">
        <v>231.67</v>
      </c>
      <c r="DG22" s="18">
        <v>45.41</v>
      </c>
      <c r="DH22" s="18"/>
      <c r="DI22" s="18"/>
      <c r="DJ22" s="22">
        <v>4541.17</v>
      </c>
      <c r="DK22" s="7">
        <f t="shared" si="2"/>
        <v>6275.44</v>
      </c>
    </row>
    <row r="23" spans="1:115" x14ac:dyDescent="0.25">
      <c r="A23" s="4">
        <v>1</v>
      </c>
      <c r="B23" s="9" t="s">
        <v>50</v>
      </c>
      <c r="C23" s="9" t="s">
        <v>51</v>
      </c>
      <c r="D23" s="8">
        <v>43899</v>
      </c>
      <c r="E23" s="2" t="s">
        <v>6</v>
      </c>
      <c r="F23" s="3"/>
      <c r="G23" s="3"/>
      <c r="H23" s="18"/>
      <c r="I23" s="3"/>
      <c r="J23" s="3"/>
      <c r="K23" s="18"/>
      <c r="L23" s="18"/>
      <c r="M23" s="18"/>
      <c r="N23" s="18">
        <v>3181.87</v>
      </c>
      <c r="O23" s="18"/>
      <c r="P23" s="18"/>
      <c r="Q23" s="18"/>
      <c r="R23" s="18"/>
      <c r="S23" s="18"/>
      <c r="T23" s="18">
        <f>1465.78+1716.09</f>
        <v>3181.87</v>
      </c>
      <c r="U23" s="18"/>
      <c r="V23" s="18">
        <f>371.95+(3664.46*24.75%)</f>
        <v>1278.9038499999999</v>
      </c>
      <c r="W23" s="18"/>
      <c r="X23" s="18">
        <f>(3664.46*8%)</f>
        <v>293.15680000000003</v>
      </c>
      <c r="Y23" s="18"/>
      <c r="Z23" s="18">
        <v>110.64</v>
      </c>
      <c r="AA23" s="18">
        <f t="shared" ref="AA23" si="20">(3664.46*1%)</f>
        <v>36.644600000000004</v>
      </c>
      <c r="AB23" s="18"/>
      <c r="AC23" s="18"/>
      <c r="AD23" s="18"/>
      <c r="AE23" s="18"/>
      <c r="AF23" s="18">
        <f>371.95+(3664.46*24.75%)</f>
        <v>1278.9038499999999</v>
      </c>
      <c r="AG23" s="18"/>
      <c r="AH23" s="18">
        <f>(3664.46*8%)</f>
        <v>293.15680000000003</v>
      </c>
      <c r="AI23" s="18"/>
      <c r="AJ23" s="18">
        <v>110.64</v>
      </c>
      <c r="AK23" s="18">
        <f>(3664.46*1%)</f>
        <v>36.644600000000004</v>
      </c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>
        <f>1465.78+853.84+954.56</f>
        <v>3274.18</v>
      </c>
      <c r="AY23" s="18"/>
      <c r="AZ23" s="18"/>
      <c r="BA23" s="18"/>
      <c r="BB23" s="18"/>
      <c r="BC23" s="18"/>
      <c r="BD23" s="18"/>
      <c r="BE23" s="18"/>
      <c r="BF23" s="18"/>
      <c r="BG23" s="18"/>
      <c r="BH23" s="18">
        <f>1465.78+953.73+991.53</f>
        <v>3411.04</v>
      </c>
      <c r="BI23" s="18"/>
      <c r="BJ23" s="18">
        <f>371.95+(3664.46*25.5%)</f>
        <v>1306.3873000000001</v>
      </c>
      <c r="BK23" s="18"/>
      <c r="BL23" s="18">
        <f>(3664.46*8%)</f>
        <v>293.15680000000003</v>
      </c>
      <c r="BM23" s="18"/>
      <c r="BN23" s="18">
        <v>18.329999999999998</v>
      </c>
      <c r="BO23" s="18">
        <f>(3664.46*1%)</f>
        <v>36.644600000000004</v>
      </c>
      <c r="BP23" s="18"/>
      <c r="BQ23" s="18"/>
      <c r="BR23" s="18">
        <f>1499.5+973.04+892.45</f>
        <v>3364.99</v>
      </c>
      <c r="BS23" s="18"/>
      <c r="BT23" s="18">
        <f>(395.55+(3833.02*25.5%))</f>
        <v>1372.9701</v>
      </c>
      <c r="BU23" s="18"/>
      <c r="BV23" s="18">
        <f>(3833.02*8%)</f>
        <v>306.64159999999998</v>
      </c>
      <c r="BW23" s="18"/>
      <c r="BX23" s="18">
        <v>26.43</v>
      </c>
      <c r="BY23" s="18">
        <f>(3833.02*1%)</f>
        <v>38.330199999999998</v>
      </c>
      <c r="BZ23" s="18"/>
      <c r="CA23" s="18"/>
      <c r="CB23" s="18">
        <f>1499.5+994.11+910.27</f>
        <v>3403.88</v>
      </c>
      <c r="CC23" s="18">
        <v>1986.5358333333334</v>
      </c>
      <c r="CD23" s="18"/>
      <c r="CE23" s="18">
        <f>(383.75+(3748.74*25.5%))</f>
        <v>1339.6786999999999</v>
      </c>
      <c r="CF23" s="18"/>
      <c r="CG23" s="18">
        <f>(3748.74*8%)</f>
        <v>299.89920000000001</v>
      </c>
      <c r="CH23" s="18"/>
      <c r="CI23" s="18">
        <v>0</v>
      </c>
      <c r="CJ23" s="18">
        <f>(3748.74*1%)</f>
        <v>37.487400000000001</v>
      </c>
      <c r="CK23" s="18"/>
      <c r="CL23" s="18"/>
      <c r="CM23" s="18">
        <v>3377.2700000000004</v>
      </c>
      <c r="CN23" s="18">
        <v>768.31999999999994</v>
      </c>
      <c r="CO23" s="18"/>
      <c r="CP23" s="18">
        <v>1362.27</v>
      </c>
      <c r="CQ23" s="18"/>
      <c r="CR23" s="18">
        <v>304.47000000000003</v>
      </c>
      <c r="CS23" s="18">
        <v>175.61</v>
      </c>
      <c r="CT23" s="18">
        <v>10.26</v>
      </c>
      <c r="CU23" s="18">
        <v>38.06</v>
      </c>
      <c r="CV23" s="18"/>
      <c r="CW23" s="18"/>
      <c r="CX23" s="18">
        <f>2398.27+986.66</f>
        <v>3384.93</v>
      </c>
      <c r="CY23" s="18">
        <v>0</v>
      </c>
      <c r="CZ23" s="18">
        <v>21.95</v>
      </c>
      <c r="DA23" s="18"/>
      <c r="DB23" s="18">
        <v>1345.33</v>
      </c>
      <c r="DC23" s="18"/>
      <c r="DD23" s="18">
        <v>301.04000000000002</v>
      </c>
      <c r="DE23" s="18"/>
      <c r="DF23" s="18">
        <v>0</v>
      </c>
      <c r="DG23" s="18">
        <v>37.629999999999995</v>
      </c>
      <c r="DH23" s="18"/>
      <c r="DI23" s="18"/>
      <c r="DJ23" s="22">
        <v>3763.03</v>
      </c>
      <c r="DK23" s="7">
        <f t="shared" si="2"/>
        <v>5090.8799999999992</v>
      </c>
    </row>
    <row r="24" spans="1:115" x14ac:dyDescent="0.25">
      <c r="A24" s="4">
        <v>1</v>
      </c>
      <c r="B24" s="9" t="s">
        <v>52</v>
      </c>
      <c r="C24" s="9" t="s">
        <v>53</v>
      </c>
      <c r="D24" s="8">
        <v>41043</v>
      </c>
      <c r="E24" s="2" t="s">
        <v>6</v>
      </c>
      <c r="F24" s="3"/>
      <c r="G24" s="3"/>
      <c r="H24" s="18"/>
      <c r="I24" s="3"/>
      <c r="J24" s="3"/>
      <c r="K24" s="18"/>
      <c r="L24" s="18"/>
      <c r="M24" s="18"/>
      <c r="N24" s="18">
        <v>3324.7200000000003</v>
      </c>
      <c r="O24" s="18"/>
      <c r="P24" s="18"/>
      <c r="Q24" s="18"/>
      <c r="R24" s="18"/>
      <c r="S24" s="18"/>
      <c r="T24" s="18">
        <f>1339.5+1985.22</f>
        <v>3324.7200000000003</v>
      </c>
      <c r="U24" s="18"/>
      <c r="V24" s="18">
        <f>345.11+(3472.74*24.75%)</f>
        <v>1204.6131499999999</v>
      </c>
      <c r="W24" s="18"/>
      <c r="X24" s="18">
        <f>(3472.74*8%)</f>
        <v>277.81919999999997</v>
      </c>
      <c r="Y24" s="18"/>
      <c r="Z24" s="18">
        <v>85.91</v>
      </c>
      <c r="AA24" s="18">
        <f t="shared" ref="AA24" si="21">(3472.74*1%)</f>
        <v>34.727399999999996</v>
      </c>
      <c r="AB24" s="18">
        <v>50</v>
      </c>
      <c r="AC24" s="18"/>
      <c r="AD24" s="18"/>
      <c r="AE24" s="18"/>
      <c r="AF24" s="18">
        <f>345.11+(3472.74*24.75%)</f>
        <v>1204.6131499999999</v>
      </c>
      <c r="AG24" s="18"/>
      <c r="AH24" s="18">
        <f>(3472.74*8%)</f>
        <v>277.81919999999997</v>
      </c>
      <c r="AI24" s="18"/>
      <c r="AJ24" s="18">
        <v>85.91</v>
      </c>
      <c r="AK24" s="18">
        <f>(3472.74*1%)</f>
        <v>34.727399999999996</v>
      </c>
      <c r="AL24" s="18">
        <v>50</v>
      </c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>
        <f>1339.5+1985.22</f>
        <v>3324.7200000000003</v>
      </c>
      <c r="AY24" s="18"/>
      <c r="AZ24" s="18"/>
      <c r="BA24" s="18"/>
      <c r="BB24" s="18"/>
      <c r="BC24" s="18"/>
      <c r="BD24" s="18"/>
      <c r="BE24" s="18"/>
      <c r="BF24" s="18"/>
      <c r="BG24" s="18"/>
      <c r="BH24" s="18">
        <f>1339.5+2097.82</f>
        <v>3437.32</v>
      </c>
      <c r="BI24" s="18"/>
      <c r="BJ24" s="18">
        <f>345.11+(3472.74*25.5%)</f>
        <v>1230.6587</v>
      </c>
      <c r="BK24" s="18"/>
      <c r="BL24" s="18">
        <f>(3472.74*8%)</f>
        <v>277.81919999999997</v>
      </c>
      <c r="BM24" s="18"/>
      <c r="BN24" s="18">
        <v>85.91</v>
      </c>
      <c r="BO24" s="18">
        <f>(3472.74*1%)</f>
        <v>34.727399999999996</v>
      </c>
      <c r="BP24" s="18">
        <v>50</v>
      </c>
      <c r="BQ24" s="18"/>
      <c r="BR24" s="18">
        <f>1370.3+2010.72</f>
        <v>3381.02</v>
      </c>
      <c r="BS24" s="18"/>
      <c r="BT24" s="18">
        <f>(366.68+(3626.78*25.5%))</f>
        <v>1291.5089</v>
      </c>
      <c r="BU24" s="18"/>
      <c r="BV24" s="18">
        <f>(3626.78*8%)</f>
        <v>290.14240000000001</v>
      </c>
      <c r="BW24" s="18"/>
      <c r="BX24" s="18">
        <v>105.78</v>
      </c>
      <c r="BY24" s="18">
        <f>(3626.78*1%)</f>
        <v>36.267800000000001</v>
      </c>
      <c r="BZ24" s="18">
        <v>50</v>
      </c>
      <c r="CA24" s="18"/>
      <c r="CB24" s="18">
        <f>1370.3+1727.59</f>
        <v>3097.89</v>
      </c>
      <c r="CC24" s="18">
        <v>1814.4583333333333</v>
      </c>
      <c r="CD24" s="18"/>
      <c r="CE24" s="18">
        <f>(355.9+(3549.76*25.5%))</f>
        <v>1261.0888</v>
      </c>
      <c r="CF24" s="18"/>
      <c r="CG24" s="18">
        <f>(3549.76*8%)</f>
        <v>283.98080000000004</v>
      </c>
      <c r="CH24" s="18"/>
      <c r="CI24" s="18">
        <v>95.84</v>
      </c>
      <c r="CJ24" s="18">
        <f>(3549.76*1%)</f>
        <v>35.497600000000006</v>
      </c>
      <c r="CK24" s="18">
        <v>50</v>
      </c>
      <c r="CL24" s="18"/>
      <c r="CM24" s="18">
        <v>3060.4900000000002</v>
      </c>
      <c r="CN24" s="18">
        <v>739.56999999999994</v>
      </c>
      <c r="CO24" s="18"/>
      <c r="CP24" s="18">
        <v>1288.04</v>
      </c>
      <c r="CQ24" s="18"/>
      <c r="CR24" s="18">
        <v>289.43</v>
      </c>
      <c r="CS24" s="18">
        <v>166.45</v>
      </c>
      <c r="CT24" s="18">
        <v>104.64</v>
      </c>
      <c r="CU24" s="18">
        <v>36.18</v>
      </c>
      <c r="CV24" s="18">
        <v>50</v>
      </c>
      <c r="CW24" s="18"/>
      <c r="CX24" s="18">
        <v>3067</v>
      </c>
      <c r="CY24" s="18">
        <v>57.19</v>
      </c>
      <c r="CZ24" s="18">
        <v>20.81</v>
      </c>
      <c r="DA24" s="18"/>
      <c r="DB24" s="18">
        <v>1267.83</v>
      </c>
      <c r="DC24" s="18"/>
      <c r="DD24" s="18">
        <v>285.33999999999997</v>
      </c>
      <c r="DE24" s="18"/>
      <c r="DF24" s="18">
        <v>98.04</v>
      </c>
      <c r="DG24" s="18">
        <v>35.669999999999995</v>
      </c>
      <c r="DH24" s="18">
        <v>50</v>
      </c>
      <c r="DI24" s="18"/>
      <c r="DJ24" s="22">
        <v>3438.82</v>
      </c>
      <c r="DK24" s="7">
        <f t="shared" si="2"/>
        <v>4881.88</v>
      </c>
    </row>
    <row r="25" spans="1:115" x14ac:dyDescent="0.25">
      <c r="A25" s="4">
        <v>1</v>
      </c>
      <c r="B25" s="9" t="s">
        <v>54</v>
      </c>
      <c r="C25" s="9" t="s">
        <v>55</v>
      </c>
      <c r="D25" s="8">
        <v>43598</v>
      </c>
      <c r="E25" s="2" t="s">
        <v>6</v>
      </c>
      <c r="F25" s="3"/>
      <c r="G25" s="3"/>
      <c r="H25" s="18"/>
      <c r="I25" s="3"/>
      <c r="J25" s="3"/>
      <c r="K25" s="18"/>
      <c r="L25" s="18"/>
      <c r="M25" s="18"/>
      <c r="N25" s="18">
        <v>5249.8099999999995</v>
      </c>
      <c r="O25" s="18"/>
      <c r="P25" s="18"/>
      <c r="Q25" s="18"/>
      <c r="R25" s="18"/>
      <c r="S25" s="18"/>
      <c r="T25" s="18">
        <f>2644.5+2605.31</f>
        <v>5249.8099999999995</v>
      </c>
      <c r="U25" s="18"/>
      <c r="V25" s="18">
        <f>713.08+(6611.25*24.75%)</f>
        <v>2349.3643750000001</v>
      </c>
      <c r="W25" s="18"/>
      <c r="X25" s="18">
        <f>(6611.25*8%)</f>
        <v>528.9</v>
      </c>
      <c r="Y25" s="18"/>
      <c r="Z25" s="18">
        <v>648.36</v>
      </c>
      <c r="AA25" s="18">
        <f t="shared" ref="AA25" si="22">(6611.25*1%)</f>
        <v>66.112499999999997</v>
      </c>
      <c r="AB25" s="18"/>
      <c r="AC25" s="18"/>
      <c r="AD25" s="18">
        <v>3785.02</v>
      </c>
      <c r="AE25" s="18"/>
      <c r="AF25" s="18">
        <f>713.08+(6611.25*24.75%)</f>
        <v>2349.3643750000001</v>
      </c>
      <c r="AG25" s="18"/>
      <c r="AH25" s="18">
        <f>(6611.25*8%)</f>
        <v>528.9</v>
      </c>
      <c r="AI25" s="18"/>
      <c r="AJ25" s="18">
        <v>648.36</v>
      </c>
      <c r="AK25" s="18">
        <f>(6611.25*1%)</f>
        <v>66.112499999999997</v>
      </c>
      <c r="AL25" s="18"/>
      <c r="AM25" s="18"/>
      <c r="AN25" s="18">
        <f>2644.5+2605.31</f>
        <v>5249.8099999999995</v>
      </c>
      <c r="AO25" s="18"/>
      <c r="AP25" s="19">
        <f>438.86+(4407.5*24.75%)</f>
        <v>1529.7162499999999</v>
      </c>
      <c r="AQ25" s="18"/>
      <c r="AR25" s="18">
        <f>(4407.5*8%)</f>
        <v>352.6</v>
      </c>
      <c r="AS25" s="18"/>
      <c r="AT25" s="18">
        <v>183.62</v>
      </c>
      <c r="AU25" s="19">
        <f>(4407.5*1%)</f>
        <v>44.075000000000003</v>
      </c>
      <c r="AV25" s="18"/>
      <c r="AW25" s="18"/>
      <c r="AX25" s="18">
        <f>2644.5+2605.31</f>
        <v>5249.8099999999995</v>
      </c>
      <c r="AY25" s="18"/>
      <c r="AZ25" s="18">
        <f>713.08+(6611.25*25.5%)</f>
        <v>2398.94875</v>
      </c>
      <c r="BA25" s="18"/>
      <c r="BB25" s="18">
        <f>(6611.25*8%)</f>
        <v>528.9</v>
      </c>
      <c r="BC25" s="18"/>
      <c r="BD25" s="18">
        <v>648.36</v>
      </c>
      <c r="BE25" s="18">
        <f>(6611.25*1%)</f>
        <v>66.112499999999997</v>
      </c>
      <c r="BF25" s="18"/>
      <c r="BG25" s="18"/>
      <c r="BH25" s="18">
        <f>2644.5+2825.79</f>
        <v>5470.29</v>
      </c>
      <c r="BI25" s="18"/>
      <c r="BJ25" s="18">
        <f>713.08+(6611.25*25.5%)</f>
        <v>2398.94875</v>
      </c>
      <c r="BK25" s="18"/>
      <c r="BL25" s="18">
        <f>(6611.25*8%)</f>
        <v>528.9</v>
      </c>
      <c r="BM25" s="18"/>
      <c r="BN25" s="18">
        <v>648.36</v>
      </c>
      <c r="BO25" s="18">
        <f>(6611.25*1%)</f>
        <v>66.112499999999997</v>
      </c>
      <c r="BP25" s="18"/>
      <c r="BQ25" s="18"/>
      <c r="BR25" s="18">
        <f>2705.32+2654.73</f>
        <v>5360.05</v>
      </c>
      <c r="BS25" s="18"/>
      <c r="BT25" s="18">
        <f>(713.08+(6915.37*25.5%))</f>
        <v>2476.49935</v>
      </c>
      <c r="BU25" s="18"/>
      <c r="BV25" s="18">
        <f>(6915.37*8%)</f>
        <v>553.2296</v>
      </c>
      <c r="BW25" s="18"/>
      <c r="BX25" s="18">
        <v>732</v>
      </c>
      <c r="BY25" s="18">
        <f>(6915.37*1%)</f>
        <v>69.153700000000001</v>
      </c>
      <c r="BZ25" s="18"/>
      <c r="CA25" s="18"/>
      <c r="CB25" s="18">
        <f>2705.32+2729.49</f>
        <v>5434.8099999999995</v>
      </c>
      <c r="CC25" s="18">
        <v>3137.5983333333329</v>
      </c>
      <c r="CD25" s="18"/>
      <c r="CE25" s="18">
        <f>(713.08+(6763.31*25.5%))</f>
        <v>2437.7240500000003</v>
      </c>
      <c r="CF25" s="18"/>
      <c r="CG25" s="18">
        <f>(6763.31*8%)</f>
        <v>541.06479999999999</v>
      </c>
      <c r="CH25" s="18"/>
      <c r="CI25" s="18">
        <v>690.18</v>
      </c>
      <c r="CJ25" s="18">
        <f>(6763.31*1%)</f>
        <v>67.633099999999999</v>
      </c>
      <c r="CK25" s="18"/>
      <c r="CL25" s="18"/>
      <c r="CM25" s="18">
        <v>5378.74</v>
      </c>
      <c r="CN25" s="18">
        <v>1425.83</v>
      </c>
      <c r="CO25" s="18"/>
      <c r="CP25" s="18">
        <v>2464.0300000000002</v>
      </c>
      <c r="CQ25" s="18"/>
      <c r="CR25" s="18">
        <v>549.30999999999995</v>
      </c>
      <c r="CS25" s="18">
        <v>316.82</v>
      </c>
      <c r="CT25" s="18">
        <v>718.53</v>
      </c>
      <c r="CU25" s="18">
        <v>68.66</v>
      </c>
      <c r="CV25" s="18"/>
      <c r="CW25" s="18"/>
      <c r="CX25" s="18">
        <v>4616.37</v>
      </c>
      <c r="CY25" s="18">
        <v>406.74</v>
      </c>
      <c r="CZ25" s="18">
        <v>39.6</v>
      </c>
      <c r="DA25" s="18"/>
      <c r="DB25" s="18">
        <v>2444.2999999999997</v>
      </c>
      <c r="DC25" s="18"/>
      <c r="DD25" s="18">
        <v>543.12</v>
      </c>
      <c r="DE25" s="18"/>
      <c r="DF25" s="18">
        <v>697.27</v>
      </c>
      <c r="DG25" s="18">
        <v>67.89</v>
      </c>
      <c r="DH25" s="18"/>
      <c r="DI25" s="18"/>
      <c r="DJ25" s="22">
        <v>6789.09</v>
      </c>
      <c r="DK25" s="7">
        <f t="shared" si="2"/>
        <v>8815.2899999999991</v>
      </c>
    </row>
    <row r="26" spans="1:115" hidden="1" x14ac:dyDescent="0.25">
      <c r="A26" s="4">
        <v>1</v>
      </c>
      <c r="B26" s="9" t="s">
        <v>56</v>
      </c>
      <c r="C26" s="9" t="s">
        <v>57</v>
      </c>
      <c r="D26" s="8">
        <v>43346</v>
      </c>
      <c r="E26" s="2" t="s">
        <v>120</v>
      </c>
      <c r="F26" s="3"/>
      <c r="G26" s="3"/>
      <c r="H26" s="18"/>
      <c r="I26" s="3"/>
      <c r="J26" s="3"/>
      <c r="K26" s="18"/>
      <c r="L26" s="18"/>
      <c r="M26" s="18"/>
      <c r="N26" s="18">
        <v>2922.6400000000003</v>
      </c>
      <c r="O26" s="18"/>
      <c r="P26" s="18"/>
      <c r="Q26" s="18"/>
      <c r="R26" s="18"/>
      <c r="S26" s="18"/>
      <c r="T26" s="18">
        <f>1339.5+1583.14</f>
        <v>2922.6400000000003</v>
      </c>
      <c r="U26" s="18"/>
      <c r="V26" s="18">
        <f t="shared" si="16"/>
        <v>1156.56315</v>
      </c>
      <c r="W26" s="18"/>
      <c r="X26" s="18">
        <f>(3348.74*8%)</f>
        <v>267.89920000000001</v>
      </c>
      <c r="Y26" s="18"/>
      <c r="Z26" s="18">
        <v>98.35</v>
      </c>
      <c r="AA26" s="18">
        <f t="shared" ref="AA26" si="23">(3348.74*1%)</f>
        <v>33.487400000000001</v>
      </c>
      <c r="AB26" s="18"/>
      <c r="AC26" s="18"/>
      <c r="AD26" s="18"/>
      <c r="AE26" s="18"/>
      <c r="AF26" s="18">
        <f t="shared" si="18"/>
        <v>1156.56315</v>
      </c>
      <c r="AG26" s="18"/>
      <c r="AH26" s="18">
        <f>(3348.74*8%)</f>
        <v>267.89920000000001</v>
      </c>
      <c r="AI26" s="18"/>
      <c r="AJ26" s="18">
        <v>98.35</v>
      </c>
      <c r="AK26" s="18">
        <f>(3348.74*1%)</f>
        <v>33.487400000000001</v>
      </c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U26" s="18"/>
      <c r="CV26" s="18"/>
      <c r="CW26" s="18"/>
      <c r="DA26" s="18"/>
      <c r="DC26" s="18"/>
      <c r="DE26" s="18"/>
      <c r="DF26" s="23"/>
      <c r="DG26" s="23"/>
      <c r="DH26" s="18"/>
      <c r="DI26" s="18"/>
      <c r="DJ26" s="22">
        <v>3348.74</v>
      </c>
      <c r="DK26" s="7">
        <f t="shared" si="2"/>
        <v>0</v>
      </c>
    </row>
    <row r="27" spans="1:115" x14ac:dyDescent="0.25">
      <c r="A27" s="4"/>
      <c r="B27" s="9" t="s">
        <v>25</v>
      </c>
      <c r="C27" s="9" t="s">
        <v>3</v>
      </c>
      <c r="D27" s="8">
        <v>42374</v>
      </c>
      <c r="E27" s="2" t="s">
        <v>6</v>
      </c>
      <c r="F27" s="3"/>
      <c r="G27" s="3"/>
      <c r="H27" s="18"/>
      <c r="I27" s="3"/>
      <c r="J27" s="3"/>
      <c r="K27" s="18"/>
      <c r="L27" s="18">
        <v>1504.99</v>
      </c>
      <c r="M27" s="11"/>
      <c r="N27" s="18">
        <v>1108.32</v>
      </c>
      <c r="O27" s="18"/>
      <c r="P27" s="18">
        <v>371.67</v>
      </c>
      <c r="Q27" s="18">
        <v>86.19</v>
      </c>
      <c r="R27" s="18">
        <v>14.02</v>
      </c>
      <c r="S27" s="18">
        <v>12.12</v>
      </c>
      <c r="T27" s="19"/>
      <c r="U27" s="18"/>
      <c r="V27" s="18">
        <f>92.38+(1200.7*24.75%)</f>
        <v>389.55324999999999</v>
      </c>
      <c r="W27" s="18"/>
      <c r="X27" s="18">
        <f>(1200.7*8%)</f>
        <v>96.056000000000012</v>
      </c>
      <c r="Y27" s="18"/>
      <c r="Z27" s="18"/>
      <c r="AA27" s="18">
        <f t="shared" ref="AA27" si="24">(1200.7*1%)</f>
        <v>12.007000000000001</v>
      </c>
      <c r="AB27" s="18"/>
      <c r="AC27" s="18"/>
      <c r="AD27" s="18"/>
      <c r="AE27" s="18"/>
      <c r="AF27" s="19"/>
      <c r="AG27" s="18"/>
      <c r="AH27" s="19"/>
      <c r="AI27" s="18"/>
      <c r="AJ27" s="19"/>
      <c r="AK27" s="19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>
        <f>1138.7+1444.31</f>
        <v>2583.0100000000002</v>
      </c>
      <c r="AY27" s="18"/>
      <c r="AZ27" s="18"/>
      <c r="BA27" s="18"/>
      <c r="BB27" s="18"/>
      <c r="BC27" s="18"/>
      <c r="BD27" s="18"/>
      <c r="BE27" s="18"/>
      <c r="BF27" s="18"/>
      <c r="BG27" s="18"/>
      <c r="BH27" s="18">
        <f>1138.7+1550.91</f>
        <v>2689.61</v>
      </c>
      <c r="BI27" s="18"/>
      <c r="BJ27" s="18">
        <f>270.67+(2908.74*25.5%)</f>
        <v>1012.3987</v>
      </c>
      <c r="BK27" s="18"/>
      <c r="BL27" s="18">
        <f>(2908.74*8%)</f>
        <v>232.69919999999999</v>
      </c>
      <c r="BM27" s="18"/>
      <c r="BN27" s="18">
        <v>55.06</v>
      </c>
      <c r="BO27" s="18">
        <f>(2908.74*1%)</f>
        <v>29.087399999999999</v>
      </c>
      <c r="BP27" s="18"/>
      <c r="BQ27" s="18"/>
      <c r="BR27" s="18">
        <f>1164.89+1471.42</f>
        <v>2636.3100000000004</v>
      </c>
      <c r="BS27" s="18"/>
      <c r="BT27" s="18">
        <f>(286.39+(3039.7*25.5%))</f>
        <v>1061.5135</v>
      </c>
      <c r="BU27" s="18"/>
      <c r="BV27" s="18">
        <f>(3039.7*8%)</f>
        <v>243.17599999999999</v>
      </c>
      <c r="BW27" s="18"/>
      <c r="BX27" s="18">
        <v>63.7</v>
      </c>
      <c r="BY27" s="18">
        <f>(3039.7*1%)</f>
        <v>30.396999999999998</v>
      </c>
      <c r="BZ27" s="18"/>
      <c r="CA27" s="18"/>
      <c r="CB27" s="18">
        <f>1164.89+1514.07</f>
        <v>2678.96</v>
      </c>
      <c r="CC27" s="18">
        <v>1544.0716666666669</v>
      </c>
      <c r="CD27" s="18"/>
      <c r="CE27" s="18">
        <f>(278.53+(2974.22*25.5%))</f>
        <v>1036.9560999999999</v>
      </c>
      <c r="CF27" s="18"/>
      <c r="CG27" s="18">
        <f>(2974.22*8%)</f>
        <v>237.93759999999997</v>
      </c>
      <c r="CH27" s="18"/>
      <c r="CI27" s="18">
        <v>59.38</v>
      </c>
      <c r="CJ27" s="18">
        <f>(2974.22*1%)</f>
        <v>29.742199999999997</v>
      </c>
      <c r="CK27" s="18"/>
      <c r="CL27" s="18"/>
      <c r="CM27" s="18">
        <v>2646.98</v>
      </c>
      <c r="CN27" s="18">
        <v>607.75999999999988</v>
      </c>
      <c r="CO27" s="18"/>
      <c r="CP27" s="18">
        <v>1056.6099999999999</v>
      </c>
      <c r="CQ27" s="18"/>
      <c r="CR27" s="18">
        <v>242.12</v>
      </c>
      <c r="CS27" s="18">
        <v>139.41</v>
      </c>
      <c r="CT27" s="18">
        <v>62.84</v>
      </c>
      <c r="CU27" s="18">
        <v>30.27</v>
      </c>
      <c r="CV27" s="18"/>
      <c r="CW27" s="18"/>
      <c r="CX27" s="18">
        <v>2650.89</v>
      </c>
      <c r="CY27" s="18">
        <v>35.14</v>
      </c>
      <c r="CZ27" s="18">
        <v>17.43</v>
      </c>
      <c r="DA27" s="18"/>
      <c r="DB27" s="18">
        <v>1041.8599999999999</v>
      </c>
      <c r="DC27" s="18"/>
      <c r="DD27" s="18">
        <v>238.98999999999998</v>
      </c>
      <c r="DE27" s="18"/>
      <c r="DF27" s="18">
        <v>60.24</v>
      </c>
      <c r="DG27" s="18">
        <v>29.87</v>
      </c>
      <c r="DH27" s="18"/>
      <c r="DI27" s="18"/>
      <c r="DJ27" s="22">
        <v>2923.32</v>
      </c>
      <c r="DK27" s="7">
        <f t="shared" si="2"/>
        <v>4074.4199999999992</v>
      </c>
    </row>
    <row r="28" spans="1:115" hidden="1" x14ac:dyDescent="0.25">
      <c r="A28" s="4">
        <v>1</v>
      </c>
      <c r="B28" s="9" t="s">
        <v>63</v>
      </c>
      <c r="C28" s="9" t="s">
        <v>58</v>
      </c>
      <c r="D28" s="8">
        <v>43535</v>
      </c>
      <c r="E28" s="2" t="s">
        <v>120</v>
      </c>
      <c r="F28" s="3"/>
      <c r="G28" s="3"/>
      <c r="H28" s="18"/>
      <c r="I28" s="3"/>
      <c r="J28" s="3"/>
      <c r="K28" s="18"/>
      <c r="L28" s="18"/>
      <c r="M28" s="18"/>
      <c r="N28" s="18">
        <v>2982.15</v>
      </c>
      <c r="O28" s="18"/>
      <c r="P28" s="18"/>
      <c r="Q28" s="18"/>
      <c r="R28" s="18"/>
      <c r="S28" s="18"/>
      <c r="T28" s="18"/>
      <c r="U28" s="18"/>
      <c r="V28" s="18">
        <f>354.08+(3536.78*24.75%)</f>
        <v>1229.4330500000001</v>
      </c>
      <c r="W28" s="18"/>
      <c r="X28" s="18">
        <f>(3536.78*8%)</f>
        <v>282.94240000000002</v>
      </c>
      <c r="Y28" s="18"/>
      <c r="Z28" s="18">
        <v>122.61</v>
      </c>
      <c r="AA28" s="18">
        <f t="shared" ref="AA28" si="25">(3536.78*1%)</f>
        <v>35.367800000000003</v>
      </c>
      <c r="AB28" s="18"/>
      <c r="AC28" s="18">
        <v>77.94</v>
      </c>
      <c r="AD28" s="18"/>
      <c r="AE28" s="18"/>
      <c r="AF28" s="19"/>
      <c r="AG28" s="18"/>
      <c r="AH28" s="19"/>
      <c r="AI28" s="18"/>
      <c r="AJ28" s="19"/>
      <c r="AK28" s="19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U28" s="18"/>
      <c r="CV28" s="18"/>
      <c r="CW28" s="18"/>
      <c r="DA28" s="18"/>
      <c r="DC28" s="18"/>
      <c r="DE28" s="18"/>
      <c r="DF28" s="23"/>
      <c r="DG28" s="23"/>
      <c r="DH28" s="18"/>
      <c r="DI28" s="18"/>
      <c r="DJ28" s="22">
        <v>3536.78</v>
      </c>
      <c r="DK28" s="7">
        <f t="shared" si="2"/>
        <v>0</v>
      </c>
    </row>
    <row r="29" spans="1:115" hidden="1" x14ac:dyDescent="0.25">
      <c r="A29" s="4">
        <v>1</v>
      </c>
      <c r="B29" s="9" t="s">
        <v>91</v>
      </c>
      <c r="C29" s="9" t="s">
        <v>92</v>
      </c>
      <c r="D29" s="8">
        <v>43922</v>
      </c>
      <c r="E29" s="2" t="s">
        <v>120</v>
      </c>
      <c r="F29" s="3"/>
      <c r="G29" s="3"/>
      <c r="H29" s="18"/>
      <c r="I29" s="3"/>
      <c r="J29" s="3"/>
      <c r="K29" s="18"/>
      <c r="L29" s="18"/>
      <c r="M29" s="18"/>
      <c r="N29" s="18">
        <v>1100</v>
      </c>
      <c r="O29" s="18"/>
      <c r="P29" s="18"/>
      <c r="Q29" s="18"/>
      <c r="R29" s="18"/>
      <c r="S29" s="18"/>
      <c r="T29" s="18">
        <v>1100</v>
      </c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U29" s="18"/>
      <c r="CV29" s="18"/>
      <c r="CW29" s="18"/>
      <c r="DA29" s="18"/>
      <c r="DC29" s="18"/>
      <c r="DE29" s="18"/>
      <c r="DF29" s="23"/>
      <c r="DG29" s="23"/>
      <c r="DH29" s="18"/>
      <c r="DI29" s="18"/>
      <c r="DJ29" s="22">
        <v>1100</v>
      </c>
      <c r="DK29" s="7">
        <f t="shared" si="2"/>
        <v>0</v>
      </c>
    </row>
    <row r="30" spans="1:115" x14ac:dyDescent="0.25">
      <c r="A30" s="4">
        <v>1</v>
      </c>
      <c r="B30" s="9" t="s">
        <v>93</v>
      </c>
      <c r="C30" s="9" t="s">
        <v>92</v>
      </c>
      <c r="D30" s="8">
        <v>43682</v>
      </c>
      <c r="E30" s="2" t="s">
        <v>6</v>
      </c>
      <c r="F30" s="3"/>
      <c r="G30" s="3"/>
      <c r="H30" s="18"/>
      <c r="I30" s="3"/>
      <c r="J30" s="3"/>
      <c r="K30" s="18"/>
      <c r="L30" s="18"/>
      <c r="M30" s="18"/>
      <c r="N30" s="18">
        <v>1100</v>
      </c>
      <c r="O30" s="18"/>
      <c r="P30" s="18"/>
      <c r="Q30" s="18"/>
      <c r="R30" s="18"/>
      <c r="S30" s="18"/>
      <c r="T30" s="18">
        <v>1100</v>
      </c>
      <c r="U30" s="18"/>
      <c r="V30" s="18"/>
      <c r="W30" s="18"/>
      <c r="X30" s="18"/>
      <c r="Y30" s="18"/>
      <c r="Z30" s="18"/>
      <c r="AA30" s="18"/>
      <c r="AB30" s="18"/>
      <c r="AC30" s="18"/>
      <c r="AD30" s="18">
        <v>1100</v>
      </c>
      <c r="AE30" s="18"/>
      <c r="AF30" s="18"/>
      <c r="AG30" s="18"/>
      <c r="AH30" s="18"/>
      <c r="AI30" s="18"/>
      <c r="AJ30" s="18"/>
      <c r="AK30" s="18"/>
      <c r="AL30" s="18"/>
      <c r="AM30" s="18"/>
      <c r="AN30" s="18">
        <v>1100</v>
      </c>
      <c r="AO30" s="18"/>
      <c r="AP30" s="18"/>
      <c r="AQ30" s="18"/>
      <c r="AR30" s="18"/>
      <c r="AS30" s="18"/>
      <c r="AT30" s="18"/>
      <c r="AU30" s="18"/>
      <c r="AV30" s="18"/>
      <c r="AW30" s="18"/>
      <c r="AX30" s="18">
        <v>1100</v>
      </c>
      <c r="AY30" s="18"/>
      <c r="AZ30" s="18"/>
      <c r="BA30" s="18"/>
      <c r="BB30" s="18"/>
      <c r="BC30" s="18"/>
      <c r="BD30" s="18"/>
      <c r="BE30" s="18"/>
      <c r="BF30" s="18"/>
      <c r="BG30" s="18"/>
      <c r="BH30" s="18">
        <v>1100</v>
      </c>
      <c r="BI30" s="18"/>
      <c r="BJ30" s="18"/>
      <c r="BK30" s="18"/>
      <c r="BL30" s="18"/>
      <c r="BM30" s="18"/>
      <c r="BN30" s="18"/>
      <c r="BO30" s="18"/>
      <c r="BP30" s="18"/>
      <c r="BQ30" s="18"/>
      <c r="BR30" s="18">
        <v>1100</v>
      </c>
      <c r="BS30" s="18"/>
      <c r="BT30" s="18"/>
      <c r="BU30" s="18"/>
      <c r="BV30" s="18"/>
      <c r="BW30" s="18"/>
      <c r="BY30" s="18"/>
      <c r="BZ30" s="18"/>
      <c r="CA30" s="18"/>
      <c r="CB30" s="18">
        <v>1100</v>
      </c>
      <c r="CC30" s="18"/>
      <c r="CD30" s="18"/>
      <c r="CE30" s="18"/>
      <c r="CF30" s="18"/>
      <c r="CG30" s="18"/>
      <c r="CH30" s="18"/>
      <c r="CJ30" s="18"/>
      <c r="CK30" s="18"/>
      <c r="CL30" s="18"/>
      <c r="CM30" s="18">
        <v>1100.01</v>
      </c>
      <c r="CN30" s="18"/>
      <c r="CO30" s="18"/>
      <c r="CP30" s="18"/>
      <c r="CQ30" s="18"/>
      <c r="CR30" s="18"/>
      <c r="CS30" s="18"/>
      <c r="CU30" s="18"/>
      <c r="CV30" s="18"/>
      <c r="CW30" s="18"/>
      <c r="CX30" s="18">
        <v>1100</v>
      </c>
      <c r="DA30" s="18"/>
      <c r="DB30" s="18">
        <v>0</v>
      </c>
      <c r="DC30" s="18"/>
      <c r="DD30" s="18"/>
      <c r="DE30" s="18"/>
      <c r="DF30" s="18"/>
      <c r="DG30" s="18"/>
      <c r="DH30" s="18"/>
      <c r="DI30" s="18"/>
      <c r="DJ30" s="22">
        <v>1100</v>
      </c>
      <c r="DK30" s="7">
        <f t="shared" si="2"/>
        <v>1100</v>
      </c>
    </row>
    <row r="31" spans="1:115" x14ac:dyDescent="0.25">
      <c r="A31" s="4">
        <v>1</v>
      </c>
      <c r="B31" s="9" t="s">
        <v>94</v>
      </c>
      <c r="C31" s="9" t="s">
        <v>152</v>
      </c>
      <c r="D31" s="8">
        <v>43468</v>
      </c>
      <c r="E31" s="2" t="s">
        <v>6</v>
      </c>
      <c r="F31" s="3"/>
      <c r="G31" s="3"/>
      <c r="H31" s="18"/>
      <c r="I31" s="3"/>
      <c r="J31" s="3"/>
      <c r="K31" s="18"/>
      <c r="L31" s="18"/>
      <c r="M31" s="18"/>
      <c r="N31" s="18">
        <v>2157.86</v>
      </c>
      <c r="O31" s="18"/>
      <c r="P31" s="18"/>
      <c r="Q31" s="18"/>
      <c r="R31" s="18"/>
      <c r="S31" s="18"/>
      <c r="T31" s="18">
        <v>2157.86</v>
      </c>
      <c r="U31" s="18"/>
      <c r="V31" s="18">
        <f>217.39+(2464.72*24.75%)</f>
        <v>827.40819999999997</v>
      </c>
      <c r="W31" s="18"/>
      <c r="X31" s="18">
        <f>(2464.72*8%)</f>
        <v>197.17759999999998</v>
      </c>
      <c r="Y31" s="18"/>
      <c r="Z31" s="18">
        <v>11.53</v>
      </c>
      <c r="AA31" s="18">
        <f t="shared" ref="AA31" si="26">(2464.72*1%)</f>
        <v>24.647199999999998</v>
      </c>
      <c r="AB31" s="18"/>
      <c r="AC31" s="18">
        <v>77.94</v>
      </c>
      <c r="AD31" s="18"/>
      <c r="AE31" s="18"/>
      <c r="AF31" s="18">
        <f>217.39+(2464.72*24.75%)</f>
        <v>827.40819999999997</v>
      </c>
      <c r="AG31" s="18"/>
      <c r="AH31" s="18">
        <f>(2464.72*8%)</f>
        <v>197.17759999999998</v>
      </c>
      <c r="AI31" s="18"/>
      <c r="AJ31" s="18">
        <v>11.53</v>
      </c>
      <c r="AK31" s="18">
        <f>(2464.72*1%)</f>
        <v>24.647199999999998</v>
      </c>
      <c r="AL31" s="18"/>
      <c r="AM31" s="18">
        <v>77.94</v>
      </c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>
        <v>2157.86</v>
      </c>
      <c r="AY31" s="18"/>
      <c r="AZ31" s="18"/>
      <c r="BA31" s="18"/>
      <c r="BB31" s="18"/>
      <c r="BC31" s="18"/>
      <c r="BD31" s="18"/>
      <c r="BE31" s="18"/>
      <c r="BF31" s="18"/>
      <c r="BG31" s="18"/>
      <c r="BH31" s="18">
        <v>2970.88</v>
      </c>
      <c r="BI31" s="18"/>
      <c r="BJ31" s="18">
        <f>217.39+(2464.72*25.5%)</f>
        <v>845.89359999999999</v>
      </c>
      <c r="BK31" s="18"/>
      <c r="BL31" s="18">
        <f>(2464.72*8%)</f>
        <v>197.17759999999998</v>
      </c>
      <c r="BM31" s="18"/>
      <c r="BN31" s="18">
        <v>11.53</v>
      </c>
      <c r="BO31" s="18">
        <f>(2464.72*1%)</f>
        <v>24.647199999999998</v>
      </c>
      <c r="BP31" s="18"/>
      <c r="BQ31" s="18">
        <v>77.94</v>
      </c>
      <c r="BR31" s="18">
        <v>2929.44</v>
      </c>
      <c r="BS31" s="18"/>
      <c r="BT31" s="18">
        <f>(346.47+(3482.45*25.5%))</f>
        <v>1234.4947499999998</v>
      </c>
      <c r="BU31" s="18"/>
      <c r="BV31" s="18">
        <f>(3482.45*8%)</f>
        <v>278.596</v>
      </c>
      <c r="BW31" s="18"/>
      <c r="BX31" s="18">
        <v>87.16</v>
      </c>
      <c r="BY31" s="18">
        <f>(3482.45*1%)</f>
        <v>34.8245</v>
      </c>
      <c r="BZ31" s="18"/>
      <c r="CA31" s="18">
        <v>77.94</v>
      </c>
      <c r="CB31" s="18">
        <v>2934.9</v>
      </c>
      <c r="CC31" s="18">
        <v>1754.3050000000001</v>
      </c>
      <c r="CD31" s="19">
        <v>1762.83</v>
      </c>
      <c r="CE31" s="18">
        <f>(338.54+(3425.76*25.5%))</f>
        <v>1212.1088000000002</v>
      </c>
      <c r="CF31" s="18"/>
      <c r="CG31" s="18">
        <f>(3425.76*8%)</f>
        <v>274.06080000000003</v>
      </c>
      <c r="CH31" s="18"/>
      <c r="CI31" s="18">
        <v>79.84</v>
      </c>
      <c r="CJ31" s="18">
        <f>(3425.76*1%)</f>
        <v>34.257600000000004</v>
      </c>
      <c r="CK31" s="18"/>
      <c r="CL31" s="18">
        <v>77.94</v>
      </c>
      <c r="CM31" s="18">
        <v>968.8</v>
      </c>
      <c r="CN31" s="18">
        <v>707.06</v>
      </c>
      <c r="CO31" s="18"/>
      <c r="CP31" s="18">
        <v>1215.92</v>
      </c>
      <c r="CQ31" s="18"/>
      <c r="CR31" s="18">
        <v>274.82</v>
      </c>
      <c r="CS31" s="18">
        <v>159.87</v>
      </c>
      <c r="CT31" s="19">
        <f>81.08+20.77</f>
        <v>101.85</v>
      </c>
      <c r="CU31" s="18">
        <v>34.35</v>
      </c>
      <c r="CV31" s="18"/>
      <c r="CW31" s="18">
        <v>79.5</v>
      </c>
      <c r="CX31" s="18">
        <v>2943.93</v>
      </c>
      <c r="CY31" s="18">
        <v>46.57</v>
      </c>
      <c r="CZ31" s="18">
        <v>19.98</v>
      </c>
      <c r="DA31" s="18"/>
      <c r="DB31" s="18">
        <v>476.21000000000004</v>
      </c>
      <c r="DC31" s="19">
        <v>443.14</v>
      </c>
      <c r="DD31" s="18">
        <v>96.820000000000036</v>
      </c>
      <c r="DE31" s="19">
        <v>101.5</v>
      </c>
      <c r="DF31" s="18">
        <v>0</v>
      </c>
      <c r="DG31" s="19">
        <f>(12.09+12.69)+0.01</f>
        <v>24.790000000000003</v>
      </c>
      <c r="DH31" s="18"/>
      <c r="DI31" s="18">
        <v>79.5</v>
      </c>
      <c r="DJ31" s="22">
        <v>3438.82</v>
      </c>
      <c r="DK31" s="7">
        <f t="shared" si="2"/>
        <v>4232.4399999999996</v>
      </c>
    </row>
    <row r="32" spans="1:115" x14ac:dyDescent="0.25">
      <c r="A32" s="4">
        <v>1</v>
      </c>
      <c r="B32" s="9" t="s">
        <v>59</v>
      </c>
      <c r="C32" s="9" t="s">
        <v>60</v>
      </c>
      <c r="D32" s="8">
        <v>41610</v>
      </c>
      <c r="E32" s="2" t="s">
        <v>6</v>
      </c>
      <c r="F32" s="3"/>
      <c r="G32" s="3"/>
      <c r="H32" s="18"/>
      <c r="I32" s="3"/>
      <c r="J32" s="3"/>
      <c r="K32" s="18"/>
      <c r="L32" s="18"/>
      <c r="M32" s="18"/>
      <c r="N32" s="18">
        <v>7363.1200000000008</v>
      </c>
      <c r="O32" s="18"/>
      <c r="P32" s="18"/>
      <c r="Q32" s="18"/>
      <c r="R32" s="18"/>
      <c r="S32" s="18"/>
      <c r="T32" s="18">
        <f>3789.53+3573.59</f>
        <v>7363.1200000000008</v>
      </c>
      <c r="U32" s="18"/>
      <c r="V32" s="18">
        <f>713.08+(9597.83*24.75%)</f>
        <v>3088.5429249999997</v>
      </c>
      <c r="W32" s="18"/>
      <c r="X32" s="18">
        <f>(9597.83*8%)</f>
        <v>767.82640000000004</v>
      </c>
      <c r="Y32" s="18"/>
      <c r="Z32" s="18">
        <v>1469.67</v>
      </c>
      <c r="AA32" s="18">
        <f t="shared" ref="AA32" si="27">(9597.83*1%)</f>
        <v>95.978300000000004</v>
      </c>
      <c r="AB32" s="18"/>
      <c r="AC32" s="18">
        <v>51.96</v>
      </c>
      <c r="AD32" s="18"/>
      <c r="AE32" s="18"/>
      <c r="AF32" s="18">
        <f>713.08+(9597.83*24.75%)</f>
        <v>3088.5429249999997</v>
      </c>
      <c r="AG32" s="18"/>
      <c r="AH32" s="18">
        <f>(9597.83*8%)</f>
        <v>767.82640000000004</v>
      </c>
      <c r="AI32" s="18"/>
      <c r="AJ32" s="18">
        <v>1469.67</v>
      </c>
      <c r="AK32" s="18">
        <f>(9597.83*1%)</f>
        <v>95.978300000000004</v>
      </c>
      <c r="AL32" s="18"/>
      <c r="AM32" s="18">
        <v>51.96</v>
      </c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>
        <f>3789.53+3573.59</f>
        <v>7363.1200000000008</v>
      </c>
      <c r="AY32" s="18"/>
      <c r="AZ32" s="18"/>
      <c r="BA32" s="18"/>
      <c r="BB32" s="18"/>
      <c r="BC32" s="18"/>
      <c r="BD32" s="18"/>
      <c r="BE32" s="18"/>
      <c r="BF32" s="18"/>
      <c r="BG32" s="18"/>
      <c r="BH32" s="18">
        <f>3789.53+3889.54</f>
        <v>7679.07</v>
      </c>
      <c r="BI32" s="18"/>
      <c r="BJ32" s="18">
        <f>713.08+(9597.83*25.5%)</f>
        <v>3160.5266499999998</v>
      </c>
      <c r="BK32" s="18"/>
      <c r="BL32" s="18">
        <f>(9597.83*8%)</f>
        <v>767.82640000000004</v>
      </c>
      <c r="BM32" s="18"/>
      <c r="BN32" s="18">
        <v>1469.67</v>
      </c>
      <c r="BO32" s="18">
        <f>(9597.83*1%)</f>
        <v>95.978300000000004</v>
      </c>
      <c r="BP32" s="18"/>
      <c r="BQ32" s="18">
        <v>51.96</v>
      </c>
      <c r="BR32" s="19">
        <v>3263.46</v>
      </c>
      <c r="BS32" s="19"/>
      <c r="BT32" s="18">
        <f>(713.08+(10033.63*25.5%))</f>
        <v>3271.6556499999997</v>
      </c>
      <c r="BU32" s="18"/>
      <c r="BV32" s="18">
        <f>(10033.63*8%)</f>
        <v>802.69039999999995</v>
      </c>
      <c r="BW32" s="18"/>
      <c r="BX32" s="18">
        <v>1589.52</v>
      </c>
      <c r="BY32" s="18">
        <f>(10033.63*1%)</f>
        <v>100.33629999999999</v>
      </c>
      <c r="BZ32" s="18"/>
      <c r="CA32" s="18">
        <v>51.96</v>
      </c>
      <c r="CB32" s="18">
        <f>3876.69+1387.74</f>
        <v>5264.43</v>
      </c>
      <c r="CC32" s="18">
        <v>4434.9316666666664</v>
      </c>
      <c r="CD32" s="18"/>
      <c r="CE32" s="19">
        <f>(261.46+(3677.63*25.5%))</f>
        <v>1199.2556500000001</v>
      </c>
      <c r="CF32" s="18"/>
      <c r="CG32" s="19">
        <f>(3677.63*8%)</f>
        <v>294.21039999999999</v>
      </c>
      <c r="CH32" s="18"/>
      <c r="CI32" s="18">
        <v>100.75</v>
      </c>
      <c r="CJ32" s="19">
        <f>(3677.63*1%)</f>
        <v>36.776299999999999</v>
      </c>
      <c r="CK32" s="18"/>
      <c r="CL32" s="18">
        <v>51.96</v>
      </c>
      <c r="CM32" s="18">
        <v>7549.75</v>
      </c>
      <c r="CN32" s="18">
        <v>1882.15</v>
      </c>
      <c r="CO32" s="18"/>
      <c r="CP32" s="18">
        <v>2094.6</v>
      </c>
      <c r="CQ32" s="18"/>
      <c r="CR32" s="18">
        <v>515.44000000000005</v>
      </c>
      <c r="CS32" s="18">
        <v>459.98</v>
      </c>
      <c r="CT32" s="18">
        <v>674.01</v>
      </c>
      <c r="CU32" s="18">
        <v>64.430000000000007</v>
      </c>
      <c r="CV32" s="18"/>
      <c r="CW32" s="18">
        <v>53</v>
      </c>
      <c r="CX32" s="18">
        <v>7521.55</v>
      </c>
      <c r="CY32" s="18">
        <v>898.84</v>
      </c>
      <c r="CZ32" s="18">
        <v>57.5</v>
      </c>
      <c r="DA32" s="18"/>
      <c r="DB32" s="18">
        <v>3226.5299999999997</v>
      </c>
      <c r="DC32" s="18"/>
      <c r="DD32" s="18">
        <v>788.54</v>
      </c>
      <c r="DE32" s="18"/>
      <c r="DF32" s="18">
        <v>1540.85</v>
      </c>
      <c r="DG32" s="18">
        <v>98.570000000000007</v>
      </c>
      <c r="DH32" s="18"/>
      <c r="DI32" s="18">
        <v>53</v>
      </c>
      <c r="DJ32" s="22">
        <v>9728.68</v>
      </c>
      <c r="DK32" s="7">
        <f t="shared" si="2"/>
        <v>14185.38</v>
      </c>
    </row>
    <row r="33" spans="1:115" x14ac:dyDescent="0.25">
      <c r="A33" s="4">
        <v>1</v>
      </c>
      <c r="B33" s="9" t="s">
        <v>61</v>
      </c>
      <c r="C33" s="9" t="s">
        <v>62</v>
      </c>
      <c r="D33" s="8">
        <v>41218</v>
      </c>
      <c r="E33" s="2" t="s">
        <v>6</v>
      </c>
      <c r="F33" s="3"/>
      <c r="G33" s="3"/>
      <c r="H33" s="18"/>
      <c r="I33" s="3"/>
      <c r="J33" s="3"/>
      <c r="K33" s="18"/>
      <c r="L33" s="18"/>
      <c r="M33" s="18"/>
      <c r="N33" s="18">
        <v>8251.27</v>
      </c>
      <c r="O33" s="18"/>
      <c r="P33" s="18"/>
      <c r="Q33" s="18"/>
      <c r="R33" s="18"/>
      <c r="S33" s="18"/>
      <c r="T33" s="18">
        <f>4353.63+3897.64</f>
        <v>8251.27</v>
      </c>
      <c r="U33" s="18"/>
      <c r="V33" s="18">
        <f>713.08+(11008.08*24.75%)</f>
        <v>3437.5798</v>
      </c>
      <c r="W33" s="18"/>
      <c r="X33" s="18">
        <f>(11008.08*8%)</f>
        <v>880.64639999999997</v>
      </c>
      <c r="Y33" s="18"/>
      <c r="Z33" s="18">
        <v>1961.77</v>
      </c>
      <c r="AA33" s="18">
        <f t="shared" ref="AA33" si="28">(11008.08*1%)</f>
        <v>110.0808</v>
      </c>
      <c r="AB33" s="18">
        <v>30</v>
      </c>
      <c r="AC33" s="18">
        <v>51.96</v>
      </c>
      <c r="AD33" s="18"/>
      <c r="AE33" s="18"/>
      <c r="AF33" s="18">
        <f>713.08+(11008.08*24.75%)</f>
        <v>3437.5798</v>
      </c>
      <c r="AG33" s="18"/>
      <c r="AH33" s="18">
        <f>(11008.08*8%)</f>
        <v>880.64639999999997</v>
      </c>
      <c r="AI33" s="18"/>
      <c r="AJ33" s="18">
        <v>1961.77</v>
      </c>
      <c r="AK33" s="18">
        <f>(11008.08*1%)</f>
        <v>110.0808</v>
      </c>
      <c r="AL33" s="18">
        <v>30</v>
      </c>
      <c r="AM33" s="18">
        <v>51.96</v>
      </c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>
        <f>4353.63+3897.64</f>
        <v>8251.27</v>
      </c>
      <c r="AY33" s="18"/>
      <c r="AZ33" s="18"/>
      <c r="BA33" s="18"/>
      <c r="BB33" s="18"/>
      <c r="BC33" s="18"/>
      <c r="BD33" s="18"/>
      <c r="BE33" s="18"/>
      <c r="BF33" s="18"/>
      <c r="BG33" s="18"/>
      <c r="BH33" s="18">
        <f>4353.63+4260.62</f>
        <v>8614.25</v>
      </c>
      <c r="BI33" s="18"/>
      <c r="BJ33" s="18">
        <f>713.08+(11008.08*25.5%)</f>
        <v>3520.1403999999998</v>
      </c>
      <c r="BK33" s="18"/>
      <c r="BL33" s="18">
        <f>(11008.08*8%)</f>
        <v>880.64639999999997</v>
      </c>
      <c r="BM33" s="18"/>
      <c r="BN33" s="18">
        <v>1961.77</v>
      </c>
      <c r="BO33" s="18">
        <f>(11008.08*1%)</f>
        <v>110.0808</v>
      </c>
      <c r="BP33" s="18">
        <v>30</v>
      </c>
      <c r="BQ33" s="18">
        <v>51.96</v>
      </c>
      <c r="BR33" s="19">
        <v>3786.67</v>
      </c>
      <c r="BS33" s="19"/>
      <c r="BT33" s="18">
        <f>(713.08+(11508.74*25.5%))</f>
        <v>3647.8087</v>
      </c>
      <c r="BU33" s="18"/>
      <c r="BV33" s="18">
        <f>(11508.74*8%)</f>
        <v>920.69920000000002</v>
      </c>
      <c r="BW33" s="18"/>
      <c r="BX33" s="18">
        <v>2099.4499999999998</v>
      </c>
      <c r="BY33" s="18">
        <f>(11508.74*1%)</f>
        <v>115.0874</v>
      </c>
      <c r="BZ33" s="18">
        <v>30</v>
      </c>
      <c r="CA33" s="18">
        <v>51.96</v>
      </c>
      <c r="CB33" s="18">
        <f>4453.76+3898.61</f>
        <v>8352.3700000000008</v>
      </c>
      <c r="CC33" s="18">
        <v>4986.5666666666666</v>
      </c>
      <c r="CD33" s="18"/>
      <c r="CE33" s="19">
        <f>(35.65+(4206.62*25.5%))</f>
        <v>1108.3381000000002</v>
      </c>
      <c r="CF33" s="18"/>
      <c r="CG33" s="19">
        <f>(4206.62*8%)</f>
        <v>336.52960000000002</v>
      </c>
      <c r="CH33" s="18"/>
      <c r="CI33" s="18">
        <v>302.33999999999997</v>
      </c>
      <c r="CJ33" s="19">
        <f>(4206.62*1%)</f>
        <v>42.066200000000002</v>
      </c>
      <c r="CK33" s="18">
        <v>30</v>
      </c>
      <c r="CL33" s="18">
        <v>51.96</v>
      </c>
      <c r="CM33" s="18">
        <v>8465.4</v>
      </c>
      <c r="CN33" s="18">
        <v>2097.56</v>
      </c>
      <c r="CO33" s="18"/>
      <c r="CP33" s="18">
        <v>3504.7</v>
      </c>
      <c r="CQ33" s="18"/>
      <c r="CR33" s="18">
        <v>886.99</v>
      </c>
      <c r="CS33" s="18">
        <v>527.55999999999995</v>
      </c>
      <c r="CT33" s="18">
        <v>1993.34</v>
      </c>
      <c r="CU33" s="18">
        <v>110.87</v>
      </c>
      <c r="CV33" s="18">
        <v>30</v>
      </c>
      <c r="CW33" s="18">
        <v>53</v>
      </c>
      <c r="CX33" s="18">
        <v>8437.2099999999991</v>
      </c>
      <c r="CY33" s="18">
        <v>1191.97</v>
      </c>
      <c r="CZ33" s="18">
        <v>65.95</v>
      </c>
      <c r="DA33" s="18"/>
      <c r="DB33" s="18">
        <v>3595.8199999999997</v>
      </c>
      <c r="DC33" s="18"/>
      <c r="DD33" s="18">
        <v>904.39</v>
      </c>
      <c r="DE33" s="18"/>
      <c r="DF33" s="18">
        <v>2043.38</v>
      </c>
      <c r="DG33" s="18">
        <v>113.05000000000001</v>
      </c>
      <c r="DH33" s="18">
        <v>30</v>
      </c>
      <c r="DI33" s="18">
        <v>53</v>
      </c>
      <c r="DJ33" s="22">
        <v>11176.86</v>
      </c>
      <c r="DK33" s="7">
        <f t="shared" si="2"/>
        <v>16434.769999999997</v>
      </c>
    </row>
    <row r="34" spans="1:115" x14ac:dyDescent="0.25">
      <c r="A34" s="4">
        <v>1</v>
      </c>
      <c r="B34" s="9" t="s">
        <v>95</v>
      </c>
      <c r="C34" s="9" t="s">
        <v>96</v>
      </c>
      <c r="D34" s="8">
        <v>42543</v>
      </c>
      <c r="E34" s="2" t="s">
        <v>6</v>
      </c>
      <c r="F34" s="3"/>
      <c r="G34" s="3"/>
      <c r="H34" s="18"/>
      <c r="I34" s="3"/>
      <c r="J34" s="3"/>
      <c r="K34" s="18"/>
      <c r="L34" s="18"/>
      <c r="M34" s="18"/>
      <c r="N34" s="18">
        <v>4204.54</v>
      </c>
      <c r="O34" s="18"/>
      <c r="P34" s="18"/>
      <c r="Q34" s="18"/>
      <c r="R34" s="18"/>
      <c r="S34" s="18"/>
      <c r="T34" s="18">
        <f>5574.89+4848.99</f>
        <v>10423.880000000001</v>
      </c>
      <c r="U34" s="18"/>
      <c r="V34" s="18">
        <f>((4645.74+62)*24.75%)</f>
        <v>1165.1656499999999</v>
      </c>
      <c r="W34" s="18"/>
      <c r="X34" s="18">
        <f>((4645.74+62)*8%)</f>
        <v>376.61919999999998</v>
      </c>
      <c r="Y34" s="18"/>
      <c r="Z34" s="18">
        <v>425.27</v>
      </c>
      <c r="AA34" s="18">
        <f t="shared" ref="AA34" si="29">((4645.74+62)*1%)</f>
        <v>47.077399999999997</v>
      </c>
      <c r="AB34" s="18"/>
      <c r="AC34" s="18">
        <v>77.94</v>
      </c>
      <c r="AD34" s="18"/>
      <c r="AE34" s="18"/>
      <c r="AF34" s="18">
        <f>713.08+((13937.23+62)*24.75%)</f>
        <v>4177.8894250000003</v>
      </c>
      <c r="AG34" s="18"/>
      <c r="AH34" s="18">
        <f>((13999.23)*8%)</f>
        <v>1119.9384</v>
      </c>
      <c r="AI34" s="18"/>
      <c r="AJ34" s="18">
        <v>2784.33</v>
      </c>
      <c r="AK34" s="18">
        <f>((13999.23)*1%)</f>
        <v>139.9923</v>
      </c>
      <c r="AL34" s="18"/>
      <c r="AM34" s="18">
        <v>77.94</v>
      </c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>
        <f>5574.89+4848.99</f>
        <v>10423.880000000001</v>
      </c>
      <c r="AY34" s="18"/>
      <c r="AZ34" s="18"/>
      <c r="BA34" s="18"/>
      <c r="BB34" s="18"/>
      <c r="BC34" s="18"/>
      <c r="BD34" s="18"/>
      <c r="BE34" s="18"/>
      <c r="BF34" s="18"/>
      <c r="BG34" s="18"/>
      <c r="BH34" s="18">
        <f>5574.89+5313.79</f>
        <v>10888.68</v>
      </c>
      <c r="BI34" s="18"/>
      <c r="BJ34" s="18">
        <f>713.08+(13999.23*25.5%)</f>
        <v>4282.8836499999998</v>
      </c>
      <c r="BK34" s="18"/>
      <c r="BL34" s="18">
        <f>(13999.23*8%)</f>
        <v>1119.9384</v>
      </c>
      <c r="BM34" s="18"/>
      <c r="BN34" s="18">
        <v>2784.33</v>
      </c>
      <c r="BO34" s="18">
        <f>(13999.23*1%)</f>
        <v>139.9923</v>
      </c>
      <c r="BP34" s="18"/>
      <c r="BQ34" s="18">
        <v>77.94</v>
      </c>
      <c r="BR34" s="18">
        <f>5703.12+4953.16</f>
        <v>10656.279999999999</v>
      </c>
      <c r="BS34" s="18"/>
      <c r="BT34" s="18">
        <f>(713.08+(14640.34*25.5%))</f>
        <v>4446.3667000000005</v>
      </c>
      <c r="BU34" s="18"/>
      <c r="BV34" s="18">
        <f>(14640.34*8%)</f>
        <v>1171.2272</v>
      </c>
      <c r="BW34" s="18"/>
      <c r="BX34" s="18">
        <v>2960.64</v>
      </c>
      <c r="BY34" s="18">
        <f>(14640.34*1%)</f>
        <v>146.4034</v>
      </c>
      <c r="BZ34" s="18"/>
      <c r="CA34" s="18">
        <v>77.94</v>
      </c>
      <c r="CB34" s="18">
        <f>5703.12+5115.03</f>
        <v>10818.15</v>
      </c>
      <c r="CC34" s="18">
        <v>6285.4633333333331</v>
      </c>
      <c r="CD34" s="18"/>
      <c r="CE34" s="18">
        <f>(713.08+(14319.79*25.5%))</f>
        <v>4364.6264500000007</v>
      </c>
      <c r="CF34" s="18"/>
      <c r="CG34" s="18">
        <f>(14319.79*8%)</f>
        <v>1145.5832</v>
      </c>
      <c r="CH34" s="18"/>
      <c r="CI34" s="18">
        <v>2872.48</v>
      </c>
      <c r="CJ34" s="18">
        <f>(14319.79*1%)</f>
        <v>143.1979</v>
      </c>
      <c r="CK34" s="18"/>
      <c r="CL34" s="18">
        <v>77.94</v>
      </c>
      <c r="CM34" s="18">
        <v>10695.58</v>
      </c>
      <c r="CN34" s="18">
        <v>2554.41</v>
      </c>
      <c r="CO34" s="18"/>
      <c r="CP34" s="18">
        <v>4422.12</v>
      </c>
      <c r="CQ34" s="18"/>
      <c r="CR34" s="18">
        <v>1163.6099999999999</v>
      </c>
      <c r="CS34" s="18">
        <v>670.89</v>
      </c>
      <c r="CT34" s="18">
        <v>2934.47</v>
      </c>
      <c r="CU34" s="18">
        <v>145.44999999999999</v>
      </c>
      <c r="CV34" s="18"/>
      <c r="CW34" s="18">
        <v>79.5</v>
      </c>
      <c r="CX34" s="18">
        <v>10667.38</v>
      </c>
      <c r="CY34" s="18">
        <v>1684.65</v>
      </c>
      <c r="CZ34" s="18">
        <v>83.86</v>
      </c>
      <c r="DA34" s="18"/>
      <c r="DB34" s="18">
        <v>4379</v>
      </c>
      <c r="DC34" s="18"/>
      <c r="DD34" s="18">
        <v>1150.0999999999999</v>
      </c>
      <c r="DE34" s="18"/>
      <c r="DF34" s="23">
        <v>2887.98</v>
      </c>
      <c r="DG34" s="18">
        <v>143.76999999999998</v>
      </c>
      <c r="DH34" s="18"/>
      <c r="DI34" s="18">
        <v>79.5</v>
      </c>
      <c r="DJ34" s="22">
        <v>14312.14</v>
      </c>
      <c r="DK34" s="7">
        <f t="shared" si="2"/>
        <v>21076.239999999998</v>
      </c>
    </row>
    <row r="35" spans="1:115" x14ac:dyDescent="0.25">
      <c r="A35" s="4">
        <v>1</v>
      </c>
      <c r="B35" s="9" t="s">
        <v>97</v>
      </c>
      <c r="C35" s="9" t="s">
        <v>92</v>
      </c>
      <c r="D35" s="8">
        <v>43647</v>
      </c>
      <c r="E35" s="2" t="s">
        <v>6</v>
      </c>
      <c r="F35" s="3"/>
      <c r="G35" s="3"/>
      <c r="H35" s="18"/>
      <c r="I35" s="3"/>
      <c r="J35" s="3"/>
      <c r="K35" s="18"/>
      <c r="L35" s="18"/>
      <c r="M35" s="18"/>
      <c r="N35" s="18">
        <v>1100</v>
      </c>
      <c r="O35" s="18"/>
      <c r="P35" s="18"/>
      <c r="Q35" s="18"/>
      <c r="R35" s="18"/>
      <c r="S35" s="18"/>
      <c r="T35" s="18">
        <v>1100</v>
      </c>
      <c r="U35" s="18"/>
      <c r="V35" s="18"/>
      <c r="W35" s="18"/>
      <c r="X35" s="18"/>
      <c r="Y35" s="18"/>
      <c r="Z35" s="18"/>
      <c r="AA35" s="18"/>
      <c r="AB35" s="18"/>
      <c r="AC35" s="18"/>
      <c r="AD35" s="18">
        <v>1100</v>
      </c>
      <c r="AE35" s="18"/>
      <c r="AF35" s="18"/>
      <c r="AG35" s="18"/>
      <c r="AH35" s="18"/>
      <c r="AI35" s="18"/>
      <c r="AJ35" s="18"/>
      <c r="AK35" s="18"/>
      <c r="AL35" s="18"/>
      <c r="AM35" s="18"/>
      <c r="AN35" s="18">
        <v>1100</v>
      </c>
      <c r="AO35" s="18"/>
      <c r="AP35" s="18"/>
      <c r="AQ35" s="18"/>
      <c r="AR35" s="18"/>
      <c r="AS35" s="18"/>
      <c r="AT35" s="18"/>
      <c r="AU35" s="18"/>
      <c r="AV35" s="18"/>
      <c r="AW35" s="18"/>
      <c r="AX35" s="18">
        <v>1100</v>
      </c>
      <c r="AY35" s="18"/>
      <c r="AZ35" s="18"/>
      <c r="BA35" s="18"/>
      <c r="BB35" s="18"/>
      <c r="BC35" s="18"/>
      <c r="BD35" s="18"/>
      <c r="BE35" s="18"/>
      <c r="BF35" s="18"/>
      <c r="BG35" s="18"/>
      <c r="BH35" s="18">
        <v>1100</v>
      </c>
      <c r="BI35" s="18"/>
      <c r="BJ35" s="18"/>
      <c r="BK35" s="18"/>
      <c r="BL35" s="18"/>
      <c r="BM35" s="18"/>
      <c r="BN35" s="18"/>
      <c r="BO35" s="18"/>
      <c r="BP35" s="18"/>
      <c r="BQ35" s="18"/>
      <c r="BR35" s="18">
        <v>1100</v>
      </c>
      <c r="BS35" s="18"/>
      <c r="BT35" s="18"/>
      <c r="BU35" s="18"/>
      <c r="BV35" s="18"/>
      <c r="BW35" s="18"/>
      <c r="BX35" s="18"/>
      <c r="BY35" s="18"/>
      <c r="BZ35" s="18"/>
      <c r="CA35" s="18"/>
      <c r="CB35" s="18">
        <v>1100</v>
      </c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>
        <v>1100.01</v>
      </c>
      <c r="CO35" s="18"/>
      <c r="CP35" s="18"/>
      <c r="CQ35" s="18"/>
      <c r="CR35" s="18"/>
      <c r="CS35" s="18"/>
      <c r="CT35" s="18"/>
      <c r="CU35" s="18"/>
      <c r="CV35" s="18"/>
      <c r="CW35" s="18"/>
      <c r="CX35" s="18">
        <v>1100</v>
      </c>
      <c r="DA35" s="18"/>
      <c r="DB35" s="18">
        <v>0</v>
      </c>
      <c r="DC35" s="18"/>
      <c r="DD35" s="18"/>
      <c r="DE35" s="18"/>
      <c r="DF35" s="18"/>
      <c r="DG35" s="18"/>
      <c r="DH35" s="18"/>
      <c r="DI35" s="18"/>
      <c r="DJ35" s="22">
        <v>1100</v>
      </c>
      <c r="DK35" s="7">
        <f t="shared" si="2"/>
        <v>1100</v>
      </c>
    </row>
    <row r="36" spans="1:115" x14ac:dyDescent="0.25">
      <c r="A36" s="4">
        <v>2</v>
      </c>
      <c r="B36" s="9" t="s">
        <v>17</v>
      </c>
      <c r="C36" s="9" t="s">
        <v>2</v>
      </c>
      <c r="D36" s="8">
        <v>42543</v>
      </c>
      <c r="E36" s="2" t="s">
        <v>6</v>
      </c>
      <c r="F36" s="3">
        <v>1033.1600000000001</v>
      </c>
      <c r="G36" s="3">
        <v>376.19</v>
      </c>
      <c r="H36" s="18">
        <v>89.84</v>
      </c>
      <c r="I36" s="3"/>
      <c r="J36" s="3">
        <v>11.229900000000001</v>
      </c>
      <c r="K36" s="18"/>
      <c r="L36" s="18"/>
      <c r="M36" s="11">
        <v>89.84</v>
      </c>
      <c r="N36" s="18">
        <v>2186.27</v>
      </c>
      <c r="O36" s="18"/>
      <c r="P36" s="18"/>
      <c r="Q36" s="18"/>
      <c r="R36" s="18"/>
      <c r="S36" s="18"/>
      <c r="T36" s="18">
        <f>985.89+1200.38</f>
        <v>2186.27</v>
      </c>
      <c r="U36" s="18"/>
      <c r="V36" s="18">
        <f>224.83+(2526.72*24.75%)</f>
        <v>850.19319999999993</v>
      </c>
      <c r="W36" s="18"/>
      <c r="X36" s="18">
        <f>(2526.72*8%)</f>
        <v>202.13759999999999</v>
      </c>
      <c r="Y36" s="18"/>
      <c r="Z36" s="18">
        <v>15.62</v>
      </c>
      <c r="AA36" s="18">
        <f t="shared" ref="AA36" si="30">(2526.72*1%)</f>
        <v>25.267199999999999</v>
      </c>
      <c r="AB36" s="18">
        <v>100</v>
      </c>
      <c r="AC36" s="18"/>
      <c r="AD36" s="18">
        <v>2186.27</v>
      </c>
      <c r="AE36" s="18"/>
      <c r="AF36" s="18">
        <f>224.83+(2526.72*24.75%)</f>
        <v>850.19319999999993</v>
      </c>
      <c r="AG36" s="18"/>
      <c r="AH36" s="18">
        <f>(2526.72*8%)</f>
        <v>202.13759999999999</v>
      </c>
      <c r="AI36" s="18"/>
      <c r="AJ36" s="18">
        <v>15.62</v>
      </c>
      <c r="AK36" s="18">
        <f>(2526.72*1%)</f>
        <v>25.267199999999999</v>
      </c>
      <c r="AL36" s="18">
        <v>100</v>
      </c>
      <c r="AM36" s="18"/>
      <c r="AN36" s="18">
        <f>985.89+1200.38</f>
        <v>2186.27</v>
      </c>
      <c r="AO36" s="18"/>
      <c r="AP36" s="18">
        <f>224.83+(2526.72*24.75%)</f>
        <v>850.19319999999993</v>
      </c>
      <c r="AQ36" s="18"/>
      <c r="AR36" s="18">
        <f>(2526.72*8%)</f>
        <v>202.13759999999999</v>
      </c>
      <c r="AS36" s="18"/>
      <c r="AT36" s="18">
        <v>15.62</v>
      </c>
      <c r="AU36" s="18">
        <f>(2526.72*1%)</f>
        <v>25.267199999999999</v>
      </c>
      <c r="AV36" s="18">
        <v>100</v>
      </c>
      <c r="AW36" s="18"/>
      <c r="AX36" s="18">
        <f>985.89+1200.38</f>
        <v>2186.27</v>
      </c>
      <c r="AY36" s="18"/>
      <c r="AZ36" s="18">
        <f>224.83+(2526.72*25.5%)</f>
        <v>869.14359999999999</v>
      </c>
      <c r="BA36" s="18"/>
      <c r="BB36" s="18">
        <f>(2526.72*8%)</f>
        <v>202.13759999999999</v>
      </c>
      <c r="BC36" s="18"/>
      <c r="BD36" s="18">
        <v>15.62</v>
      </c>
      <c r="BE36" s="18">
        <f>(2526.72*1%)</f>
        <v>25.267199999999999</v>
      </c>
      <c r="BF36" s="18">
        <v>100</v>
      </c>
      <c r="BG36" s="18"/>
      <c r="BH36" s="19">
        <f>985.89+165.09</f>
        <v>1150.98</v>
      </c>
      <c r="BI36" s="18"/>
      <c r="BJ36" s="18">
        <f>224.83+(2526.72*25.5%)</f>
        <v>869.14359999999999</v>
      </c>
      <c r="BK36" s="18"/>
      <c r="BL36" s="18">
        <f>(2526.72*8%)</f>
        <v>202.13759999999999</v>
      </c>
      <c r="BM36" s="18"/>
      <c r="BN36" s="18">
        <v>15.62</v>
      </c>
      <c r="BO36" s="18">
        <f>(2526.72*1%)</f>
        <v>25.267199999999999</v>
      </c>
      <c r="BP36" s="18">
        <v>100</v>
      </c>
      <c r="BQ36" s="18"/>
      <c r="BR36" s="18">
        <f>1008.56+1323.86</f>
        <v>2332.42</v>
      </c>
      <c r="BS36" s="18"/>
      <c r="BT36" s="19">
        <f>(156.77+(1407.75*25.5%))</f>
        <v>515.74625000000003</v>
      </c>
      <c r="BU36" s="18"/>
      <c r="BV36" s="19">
        <f>(1407.75*8%)</f>
        <v>112.62</v>
      </c>
      <c r="BW36" s="18"/>
      <c r="BX36" s="18">
        <v>0</v>
      </c>
      <c r="BY36" s="19">
        <f>(1407.75*1%)</f>
        <v>14.077500000000001</v>
      </c>
      <c r="BZ36" s="18">
        <v>100</v>
      </c>
      <c r="CA36" s="18"/>
      <c r="CB36" s="18">
        <f>1008.56+1364.84</f>
        <v>2373.3999999999996</v>
      </c>
      <c r="CC36" s="18">
        <v>1366.0849999999998</v>
      </c>
      <c r="CD36" s="18"/>
      <c r="CE36" s="18">
        <f>(231.63+(2583.41*25.5%))</f>
        <v>890.39954999999998</v>
      </c>
      <c r="CF36" s="18"/>
      <c r="CG36" s="18">
        <f>(2583.41*8%)</f>
        <v>206.6728</v>
      </c>
      <c r="CH36" s="18"/>
      <c r="CI36" s="18">
        <v>19.37</v>
      </c>
      <c r="CJ36" s="18">
        <f>(2583.41*1%)</f>
        <v>25.834099999999999</v>
      </c>
      <c r="CK36" s="18"/>
      <c r="CL36" s="18"/>
      <c r="CM36" s="18">
        <v>2341.8700000000003</v>
      </c>
      <c r="CN36" s="18">
        <v>521.94000000000005</v>
      </c>
      <c r="CO36" s="18"/>
      <c r="CP36" s="18">
        <v>909.29</v>
      </c>
      <c r="CQ36" s="18"/>
      <c r="CR36" s="18">
        <v>210.7</v>
      </c>
      <c r="CS36" s="18">
        <v>121.1</v>
      </c>
      <c r="CT36" s="18">
        <v>22.69</v>
      </c>
      <c r="CU36" s="18">
        <v>26.34</v>
      </c>
      <c r="CV36" s="18"/>
      <c r="CW36" s="18"/>
      <c r="CX36" s="18">
        <v>1185</v>
      </c>
      <c r="CY36" s="18">
        <v>11.74</v>
      </c>
      <c r="CZ36">
        <v>15.14</v>
      </c>
      <c r="DA36" s="18"/>
      <c r="DB36" s="18">
        <v>894.75</v>
      </c>
      <c r="DC36" s="18"/>
      <c r="DD36" s="18">
        <v>207.60999999999999</v>
      </c>
      <c r="DE36" s="18"/>
      <c r="DF36" s="23">
        <v>20.13</v>
      </c>
      <c r="DG36" s="18">
        <v>25.96</v>
      </c>
      <c r="DH36" s="18"/>
      <c r="DI36" s="18"/>
      <c r="DJ36" s="22">
        <v>2531.02</v>
      </c>
      <c r="DK36" s="7">
        <f t="shared" si="2"/>
        <v>2360.3300000000004</v>
      </c>
    </row>
    <row r="37" spans="1:115" x14ac:dyDescent="0.25">
      <c r="A37" s="4">
        <v>1</v>
      </c>
      <c r="B37" s="9" t="s">
        <v>64</v>
      </c>
      <c r="C37" s="9" t="s">
        <v>65</v>
      </c>
      <c r="D37" s="8">
        <v>41162</v>
      </c>
      <c r="E37" s="2" t="s">
        <v>6</v>
      </c>
      <c r="F37" s="3"/>
      <c r="G37" s="3"/>
      <c r="H37" s="18"/>
      <c r="I37" s="3"/>
      <c r="J37" s="3"/>
      <c r="K37" s="18"/>
      <c r="L37" s="18"/>
      <c r="M37" s="18"/>
      <c r="N37" s="18">
        <v>2867.31</v>
      </c>
      <c r="O37" s="18"/>
      <c r="P37" s="18"/>
      <c r="Q37" s="18"/>
      <c r="R37" s="18"/>
      <c r="S37" s="18"/>
      <c r="T37" s="18">
        <f>1946.29+2167.48</f>
        <v>4113.7700000000004</v>
      </c>
      <c r="U37" s="18"/>
      <c r="V37" s="18">
        <f>453.15+((3243.82+124)*24.75%)</f>
        <v>1286.6854499999999</v>
      </c>
      <c r="W37" s="18"/>
      <c r="X37" s="18">
        <f>((3243.82+124)*8%)</f>
        <v>269.42560000000003</v>
      </c>
      <c r="Y37" s="18"/>
      <c r="Z37" s="18">
        <v>47.36</v>
      </c>
      <c r="AA37" s="18">
        <f t="shared" ref="AA37" si="31">((3243.82+124)*1%)</f>
        <v>33.678200000000004</v>
      </c>
      <c r="AB37" s="18"/>
      <c r="AC37" s="18"/>
      <c r="AD37" s="18">
        <v>4113.7700000000004</v>
      </c>
      <c r="AE37" s="18"/>
      <c r="AF37" s="18">
        <f>557.49+((4865.73+124)*24.75%)</f>
        <v>1792.448175</v>
      </c>
      <c r="AG37" s="18"/>
      <c r="AH37" s="18">
        <f>((4989.73)*8%)</f>
        <v>399.17839999999995</v>
      </c>
      <c r="AI37" s="18"/>
      <c r="AJ37" s="18">
        <v>318.47000000000003</v>
      </c>
      <c r="AK37" s="18">
        <f>((4989.73)*1%)</f>
        <v>49.897299999999994</v>
      </c>
      <c r="AL37" s="18"/>
      <c r="AM37" s="18"/>
      <c r="AN37" s="18">
        <f>1946.29+2167.48</f>
        <v>4113.7700000000004</v>
      </c>
      <c r="AO37" s="18"/>
      <c r="AP37" s="18">
        <f>557.49+((4865.73+124)*24.75%)</f>
        <v>1792.448175</v>
      </c>
      <c r="AQ37" s="18"/>
      <c r="AR37" s="18">
        <f>((4989.73)*8%)</f>
        <v>399.17839999999995</v>
      </c>
      <c r="AS37" s="18"/>
      <c r="AT37" s="18">
        <v>318.47000000000003</v>
      </c>
      <c r="AU37" s="18">
        <f>((4989.73)*1%)</f>
        <v>49.897299999999994</v>
      </c>
      <c r="AV37" s="18"/>
      <c r="AW37" s="18"/>
      <c r="AX37" s="18">
        <f>1946.29+2167.48</f>
        <v>4113.7700000000004</v>
      </c>
      <c r="AY37" s="18"/>
      <c r="AZ37" s="18">
        <f>557.49+((4865.73+124)*25.5%)</f>
        <v>1829.8711499999999</v>
      </c>
      <c r="BA37" s="18"/>
      <c r="BB37" s="18">
        <f>((4989.73)*8%)</f>
        <v>399.17839999999995</v>
      </c>
      <c r="BC37" s="18"/>
      <c r="BD37" s="18">
        <v>318.47000000000003</v>
      </c>
      <c r="BE37" s="18">
        <f>((4989.73)*1%)</f>
        <v>49.897299999999994</v>
      </c>
      <c r="BF37" s="18"/>
      <c r="BG37" s="18"/>
      <c r="BH37" s="18">
        <f>1946.29+2359.31</f>
        <v>4305.6000000000004</v>
      </c>
      <c r="BI37" s="18"/>
      <c r="BJ37" s="18">
        <f>557.49+((4865.73+124)*25.5%)</f>
        <v>1829.8711499999999</v>
      </c>
      <c r="BK37" s="18"/>
      <c r="BL37" s="18">
        <f>((4989.73)*8%)</f>
        <v>399.17839999999995</v>
      </c>
      <c r="BM37" s="18"/>
      <c r="BN37" s="18">
        <v>318.47000000000003</v>
      </c>
      <c r="BO37" s="18">
        <f>((4989.73)*1%)</f>
        <v>49.897299999999994</v>
      </c>
      <c r="BP37" s="18"/>
      <c r="BQ37" s="18"/>
      <c r="BR37" s="18">
        <f>1991.06+2154.65</f>
        <v>4145.71</v>
      </c>
      <c r="BS37" s="18"/>
      <c r="BT37" s="18">
        <f>(588.83+(5213.55*25.5%))</f>
        <v>1918.2852499999999</v>
      </c>
      <c r="BU37" s="18"/>
      <c r="BV37" s="18">
        <f>((5213.55)*8%)</f>
        <v>417.084</v>
      </c>
      <c r="BW37" s="18"/>
      <c r="BX37" s="18">
        <v>319.12</v>
      </c>
      <c r="BY37" s="18">
        <f>((5213.55)*1%)</f>
        <v>52.1355</v>
      </c>
      <c r="BZ37" s="18"/>
      <c r="CA37" s="18"/>
      <c r="CB37" s="18">
        <f>1991.06+2258.56</f>
        <v>4249.62</v>
      </c>
      <c r="CC37" s="18">
        <v>2452.1408333333334</v>
      </c>
      <c r="CD37" s="18"/>
      <c r="CE37" s="18">
        <f>(573.16+(5101.64*25.5%))</f>
        <v>1874.0781999999999</v>
      </c>
      <c r="CF37" s="18"/>
      <c r="CG37" s="18">
        <f>(5101.64*8%)</f>
        <v>408.13120000000004</v>
      </c>
      <c r="CH37" s="18"/>
      <c r="CI37" s="18">
        <v>382.77</v>
      </c>
      <c r="CJ37" s="18">
        <f>(5101.64*1%)</f>
        <v>51.016400000000004</v>
      </c>
      <c r="CK37" s="18"/>
      <c r="CL37" s="18"/>
      <c r="CM37" s="18">
        <v>4203.67</v>
      </c>
      <c r="CN37" s="18">
        <v>1098.5000000000002</v>
      </c>
      <c r="CO37" s="19">
        <v>1274.72</v>
      </c>
      <c r="CP37" s="18">
        <v>1910.4</v>
      </c>
      <c r="CQ37" s="18"/>
      <c r="CR37" s="18">
        <v>415.48</v>
      </c>
      <c r="CS37" s="18">
        <v>239.15</v>
      </c>
      <c r="CT37" s="18">
        <v>357.9</v>
      </c>
      <c r="CU37" s="18">
        <v>51.94</v>
      </c>
      <c r="CV37" s="18"/>
      <c r="CW37" s="18"/>
      <c r="CX37" s="18">
        <v>1550.1</v>
      </c>
      <c r="CY37" s="18">
        <v>201</v>
      </c>
      <c r="CZ37" s="18">
        <v>29.89</v>
      </c>
      <c r="DA37" s="18"/>
      <c r="DB37" s="18">
        <v>1883.16</v>
      </c>
      <c r="DC37" s="18"/>
      <c r="DD37" s="18">
        <v>409.96</v>
      </c>
      <c r="DE37" s="18"/>
      <c r="DF37" s="24">
        <f>344.56+78.13</f>
        <v>422.69</v>
      </c>
      <c r="DG37" s="18">
        <v>51.26</v>
      </c>
      <c r="DH37" s="18"/>
      <c r="DI37" s="18"/>
      <c r="DJ37" s="22">
        <v>4996.62</v>
      </c>
      <c r="DK37" s="7">
        <f t="shared" si="2"/>
        <v>4548.0600000000004</v>
      </c>
    </row>
    <row r="38" spans="1:115" x14ac:dyDescent="0.25">
      <c r="A38" s="4">
        <v>1</v>
      </c>
      <c r="B38" s="9" t="s">
        <v>66</v>
      </c>
      <c r="C38" s="9" t="s">
        <v>67</v>
      </c>
      <c r="D38" s="8">
        <v>40575</v>
      </c>
      <c r="E38" s="2" t="s">
        <v>6</v>
      </c>
      <c r="F38" s="3"/>
      <c r="G38" s="3"/>
      <c r="H38" s="18"/>
      <c r="I38" s="3"/>
      <c r="J38" s="3"/>
      <c r="K38" s="18"/>
      <c r="L38" s="18"/>
      <c r="M38" s="18"/>
      <c r="N38" s="18">
        <v>6023.5</v>
      </c>
      <c r="O38" s="18"/>
      <c r="P38" s="18"/>
      <c r="Q38" s="18"/>
      <c r="R38" s="18"/>
      <c r="S38" s="18"/>
      <c r="T38" s="18">
        <f>3054.4+2969.1</f>
        <v>6023.5</v>
      </c>
      <c r="U38" s="18"/>
      <c r="V38" s="18">
        <f>713.08+(7821.99*24.75%)</f>
        <v>2649.0225249999999</v>
      </c>
      <c r="W38" s="18"/>
      <c r="X38" s="18">
        <f>(7821.99*8%)</f>
        <v>625.75919999999996</v>
      </c>
      <c r="Y38" s="18"/>
      <c r="Z38" s="18">
        <v>1033.45</v>
      </c>
      <c r="AA38" s="18">
        <f t="shared" ref="AA38" si="32">(7821.99*1%)</f>
        <v>78.219899999999996</v>
      </c>
      <c r="AB38" s="18"/>
      <c r="AC38" s="18">
        <v>51.96</v>
      </c>
      <c r="AD38" s="18">
        <v>5997.52</v>
      </c>
      <c r="AE38" s="18"/>
      <c r="AF38" s="18">
        <f>713.08+(7821.99*24.75%)</f>
        <v>2649.0225249999999</v>
      </c>
      <c r="AG38" s="18"/>
      <c r="AH38" s="18">
        <f>(7821.99*8%)</f>
        <v>625.75919999999996</v>
      </c>
      <c r="AI38" s="18"/>
      <c r="AJ38" s="18">
        <v>1033.45</v>
      </c>
      <c r="AK38" s="18">
        <f>(7821.99*1%)</f>
        <v>78.219899999999996</v>
      </c>
      <c r="AL38" s="18"/>
      <c r="AM38" s="18">
        <v>51.96</v>
      </c>
      <c r="AN38" s="18">
        <f>3054.4+2943.12</f>
        <v>5997.52</v>
      </c>
      <c r="AO38" s="18"/>
      <c r="AP38" s="18">
        <f>713.08+(7821.99*24.75%)</f>
        <v>2649.0225249999999</v>
      </c>
      <c r="AQ38" s="18"/>
      <c r="AR38" s="18">
        <f>(7821.99*8%)</f>
        <v>625.75919999999996</v>
      </c>
      <c r="AS38" s="18"/>
      <c r="AT38" s="18">
        <v>1033.45</v>
      </c>
      <c r="AU38" s="18">
        <f>(7821.99*1%)</f>
        <v>78.219899999999996</v>
      </c>
      <c r="AV38" s="18"/>
      <c r="AW38" s="18">
        <v>77.94</v>
      </c>
      <c r="AX38" s="18">
        <f>3054.4+2943.12</f>
        <v>5997.52</v>
      </c>
      <c r="AY38" s="18"/>
      <c r="AZ38" s="18">
        <f>713.08+(7821.99*25.5%)</f>
        <v>2707.6874499999999</v>
      </c>
      <c r="BA38" s="18"/>
      <c r="BB38" s="18">
        <f>(7821.99*8%)</f>
        <v>625.75919999999996</v>
      </c>
      <c r="BC38" s="18"/>
      <c r="BD38" s="18">
        <v>1033.45</v>
      </c>
      <c r="BE38" s="18">
        <f>(7821.99*1%)</f>
        <v>78.219899999999996</v>
      </c>
      <c r="BF38" s="18"/>
      <c r="BG38" s="18">
        <v>77.94</v>
      </c>
      <c r="BH38" s="19">
        <f>3054.4+1764.37</f>
        <v>4818.7700000000004</v>
      </c>
      <c r="BI38" s="18">
        <v>2227.17</v>
      </c>
      <c r="BJ38" s="18">
        <f>713.08+(7821.99*25.5%)</f>
        <v>2707.6874499999999</v>
      </c>
      <c r="BK38" s="18"/>
      <c r="BL38" s="18">
        <f>(7821.99*8%)</f>
        <v>625.75919999999996</v>
      </c>
      <c r="BM38" s="18"/>
      <c r="BN38" s="18">
        <v>1033.45</v>
      </c>
      <c r="BO38" s="18">
        <f>(7821.99*1%)</f>
        <v>78.219899999999996</v>
      </c>
      <c r="BP38" s="18"/>
      <c r="BQ38" s="18">
        <v>77.94</v>
      </c>
      <c r="BR38" s="19">
        <f>3124.65+1370.88</f>
        <v>4495.5300000000007</v>
      </c>
      <c r="BS38" s="18"/>
      <c r="BT38" s="19">
        <f>(356.54+(5729.3*25.5%))</f>
        <v>1817.5115000000001</v>
      </c>
      <c r="BU38" s="18"/>
      <c r="BV38" s="19">
        <f>(5729.3*8%)</f>
        <v>458.34400000000005</v>
      </c>
      <c r="BW38" s="19">
        <v>178.17</v>
      </c>
      <c r="BX38" s="18">
        <v>556.01</v>
      </c>
      <c r="BY38" s="19">
        <f>(5729.3*1%)+22.27</f>
        <v>79.563000000000002</v>
      </c>
      <c r="BZ38" s="18"/>
      <c r="CA38" s="18">
        <v>77.94</v>
      </c>
      <c r="CB38" s="18">
        <f>3124.65+3122.3</f>
        <v>6246.9500000000007</v>
      </c>
      <c r="CC38" s="18">
        <v>1406.2591666666663</v>
      </c>
      <c r="CD38" s="18"/>
      <c r="CE38" s="19">
        <f>(356.54+(5393.75*25.5%))</f>
        <v>1731.94625</v>
      </c>
      <c r="CF38" s="18"/>
      <c r="CG38" s="19">
        <f>(5393.75*8%)</f>
        <v>431.5</v>
      </c>
      <c r="CH38" s="18"/>
      <c r="CI38" s="18">
        <v>463.74</v>
      </c>
      <c r="CJ38" s="19">
        <f>(5393.75*1%)</f>
        <v>53.9375</v>
      </c>
      <c r="CK38" s="18"/>
      <c r="CL38" s="18">
        <v>77.94</v>
      </c>
      <c r="CM38" s="18">
        <v>6149.2300000000005</v>
      </c>
      <c r="CN38" s="18">
        <v>1610.93</v>
      </c>
      <c r="CO38" s="18"/>
      <c r="CP38" s="18">
        <v>2791.05</v>
      </c>
      <c r="CQ38" s="18"/>
      <c r="CR38" s="18">
        <v>651.91</v>
      </c>
      <c r="CS38" s="18">
        <v>196.72</v>
      </c>
      <c r="CT38" s="18">
        <v>1123.3499999999999</v>
      </c>
      <c r="CU38" s="18">
        <v>81.489999999999995</v>
      </c>
      <c r="CV38" s="18"/>
      <c r="CW38" s="18">
        <v>79.5</v>
      </c>
      <c r="CX38" s="18">
        <v>6121.03</v>
      </c>
      <c r="CY38" s="18">
        <v>636.76</v>
      </c>
      <c r="CZ38">
        <v>24.59</v>
      </c>
      <c r="DA38" s="18"/>
      <c r="DB38" s="18">
        <v>2761.6</v>
      </c>
      <c r="DC38" s="18"/>
      <c r="DD38" s="18">
        <v>642.66999999999996</v>
      </c>
      <c r="DE38" s="18"/>
      <c r="DF38" s="23">
        <v>1091.5899999999999</v>
      </c>
      <c r="DG38" s="18">
        <v>80.34</v>
      </c>
      <c r="DH38" s="18"/>
      <c r="DI38" s="18">
        <v>79.5</v>
      </c>
      <c r="DJ38" s="22">
        <v>7841.4</v>
      </c>
      <c r="DK38" s="7">
        <f t="shared" si="2"/>
        <v>11438.08</v>
      </c>
    </row>
    <row r="39" spans="1:115" hidden="1" x14ac:dyDescent="0.25">
      <c r="A39" s="4">
        <v>1</v>
      </c>
      <c r="B39" s="9" t="s">
        <v>68</v>
      </c>
      <c r="C39" s="9" t="s">
        <v>69</v>
      </c>
      <c r="D39" s="8">
        <v>43892</v>
      </c>
      <c r="E39" s="2" t="s">
        <v>6</v>
      </c>
      <c r="F39" s="3"/>
      <c r="G39" s="3"/>
      <c r="H39" s="18"/>
      <c r="I39" s="3"/>
      <c r="J39" s="3"/>
      <c r="K39" s="18"/>
      <c r="L39" s="18"/>
      <c r="M39" s="18"/>
      <c r="N39" s="18">
        <v>3692.86</v>
      </c>
      <c r="O39" s="18"/>
      <c r="P39" s="18"/>
      <c r="Q39" s="18"/>
      <c r="R39" s="18"/>
      <c r="S39" s="18"/>
      <c r="T39" s="18">
        <f>1768.88+1923.98</f>
        <v>3692.86</v>
      </c>
      <c r="U39" s="18"/>
      <c r="V39" s="18">
        <f>478.04+(4422.21*24.75%)</f>
        <v>1572.536975</v>
      </c>
      <c r="W39" s="18"/>
      <c r="X39" s="18">
        <f>(4422.21*8%)</f>
        <v>353.77680000000004</v>
      </c>
      <c r="Y39" s="18"/>
      <c r="Z39" s="18">
        <v>251.31</v>
      </c>
      <c r="AA39" s="18">
        <f t="shared" ref="AA39" si="33">(4422.21*1%)</f>
        <v>44.222100000000005</v>
      </c>
      <c r="AB39" s="18"/>
      <c r="AC39" s="18"/>
      <c r="AD39" s="18"/>
      <c r="AE39" s="18"/>
      <c r="AF39" s="18">
        <f>478.04+(4422.21*24.75%)</f>
        <v>1572.536975</v>
      </c>
      <c r="AG39" s="18"/>
      <c r="AH39" s="18">
        <f>(4422.21*8%)</f>
        <v>353.77680000000004</v>
      </c>
      <c r="AI39" s="18"/>
      <c r="AJ39" s="18">
        <v>251.31</v>
      </c>
      <c r="AK39" s="18">
        <f>(4422.21*1%)</f>
        <v>44.222100000000005</v>
      </c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J39" s="18"/>
      <c r="CK39" s="18"/>
      <c r="CL39" s="18"/>
      <c r="CM39" s="18"/>
      <c r="CO39" s="18"/>
      <c r="CP39" s="18"/>
      <c r="CQ39" s="18"/>
      <c r="CR39" s="18"/>
      <c r="CS39" s="18"/>
      <c r="CU39" s="18"/>
      <c r="CV39" s="18"/>
      <c r="CW39" s="18"/>
      <c r="DA39" s="18"/>
      <c r="DC39" s="18"/>
      <c r="DE39" s="18"/>
      <c r="DF39" s="23"/>
      <c r="DG39" s="23"/>
      <c r="DH39" s="18"/>
      <c r="DI39" s="18"/>
      <c r="DJ39" s="22">
        <v>4541.17</v>
      </c>
      <c r="DK39" s="7">
        <f t="shared" si="2"/>
        <v>0</v>
      </c>
    </row>
    <row r="40" spans="1:115" x14ac:dyDescent="0.25">
      <c r="A40" s="4">
        <v>2</v>
      </c>
      <c r="B40" s="9" t="s">
        <v>14</v>
      </c>
      <c r="C40" s="9" t="s">
        <v>153</v>
      </c>
      <c r="D40" s="8">
        <v>40969</v>
      </c>
      <c r="E40" s="2" t="s">
        <v>6</v>
      </c>
      <c r="F40" s="3">
        <v>4443.97</v>
      </c>
      <c r="G40" s="3">
        <v>2022.05</v>
      </c>
      <c r="H40" s="18">
        <v>443.19039999999995</v>
      </c>
      <c r="I40" s="3">
        <v>486.53</v>
      </c>
      <c r="J40" s="3">
        <v>55.4</v>
      </c>
      <c r="K40" s="18"/>
      <c r="L40" s="18"/>
      <c r="M40" s="11">
        <v>443.19039999999995</v>
      </c>
      <c r="N40" s="18">
        <v>3511.95</v>
      </c>
      <c r="O40" s="18"/>
      <c r="P40" s="18"/>
      <c r="Q40" s="18"/>
      <c r="R40" s="18"/>
      <c r="S40" s="18"/>
      <c r="T40" s="19"/>
      <c r="U40" s="18"/>
      <c r="V40" s="18">
        <f>440.62+(4154.91*24.75%)</f>
        <v>1468.9602249999998</v>
      </c>
      <c r="W40" s="18"/>
      <c r="X40" s="18">
        <f>(4154.91*8%)</f>
        <v>332.39280000000002</v>
      </c>
      <c r="Y40" s="18"/>
      <c r="Z40" s="18">
        <v>202.34</v>
      </c>
      <c r="AA40" s="18">
        <f t="shared" ref="AA40" si="34">(4154.91*1%)</f>
        <v>41.549100000000003</v>
      </c>
      <c r="AB40" s="18"/>
      <c r="AC40" s="18"/>
      <c r="AD40" s="18"/>
      <c r="AE40" s="18"/>
      <c r="AF40" s="19"/>
      <c r="AG40" s="18"/>
      <c r="AH40" s="19"/>
      <c r="AI40" s="18"/>
      <c r="AJ40" s="19"/>
      <c r="AK40" s="19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>
        <f>1612.36+1899.59</f>
        <v>3511.95</v>
      </c>
      <c r="AY40" s="18"/>
      <c r="AZ40" s="18"/>
      <c r="BA40" s="18"/>
      <c r="BB40" s="18"/>
      <c r="BC40" s="18"/>
      <c r="BD40" s="18"/>
      <c r="BE40" s="18"/>
      <c r="BF40" s="18"/>
      <c r="BG40" s="18"/>
      <c r="BH40" s="18">
        <f>1612.36+2025.93</f>
        <v>3638.29</v>
      </c>
      <c r="BI40" s="18"/>
      <c r="BJ40" s="18">
        <f>440.62+(4154.91*25.5%)</f>
        <v>1500.1220499999999</v>
      </c>
      <c r="BK40" s="18"/>
      <c r="BL40" s="18">
        <f>(4154.91*8%)</f>
        <v>332.39280000000002</v>
      </c>
      <c r="BM40" s="18"/>
      <c r="BN40" s="18">
        <v>202.34</v>
      </c>
      <c r="BO40" s="18">
        <f>(4154.91*1%)</f>
        <v>41.549100000000003</v>
      </c>
      <c r="BP40" s="18"/>
      <c r="BQ40" s="18"/>
      <c r="BR40" s="18">
        <f>1649.45+1927.05</f>
        <v>3576.5</v>
      </c>
      <c r="BS40" s="18"/>
      <c r="BT40" s="18">
        <f>(466.58+(4340.34*25.5%))</f>
        <v>1573.3667</v>
      </c>
      <c r="BU40" s="18"/>
      <c r="BV40" s="18">
        <f>(4340.34*8%)</f>
        <v>347.22720000000004</v>
      </c>
      <c r="BW40" s="18"/>
      <c r="BX40" s="18">
        <v>235.47</v>
      </c>
      <c r="BY40" s="18">
        <f>(4340.34*1%)</f>
        <v>43.403400000000005</v>
      </c>
      <c r="BZ40" s="18"/>
      <c r="CA40" s="18"/>
      <c r="CB40" s="18">
        <f>1649.45+1979.61</f>
        <v>3629.06</v>
      </c>
      <c r="CC40" s="18">
        <v>2093.9566666666665</v>
      </c>
      <c r="CD40" s="18"/>
      <c r="CE40" s="18">
        <f>(453.6+(4247.62*25.5%))</f>
        <v>1536.7431000000001</v>
      </c>
      <c r="CF40" s="18"/>
      <c r="CG40" s="18">
        <f>(4247.62*8%)</f>
        <v>339.80959999999999</v>
      </c>
      <c r="CH40" s="18"/>
      <c r="CI40" s="18">
        <v>217.52</v>
      </c>
      <c r="CJ40" s="18">
        <f>(4247.62*1%)</f>
        <v>42.476199999999999</v>
      </c>
      <c r="CK40" s="18"/>
      <c r="CL40" s="18"/>
      <c r="CM40" s="18">
        <v>3589.6400000000003</v>
      </c>
      <c r="CN40" s="18">
        <v>900.9799999999999</v>
      </c>
      <c r="CO40" s="19">
        <v>1286.03</v>
      </c>
      <c r="CP40" s="18">
        <v>1567.91</v>
      </c>
      <c r="CQ40" s="18"/>
      <c r="CR40" s="18">
        <v>346.11</v>
      </c>
      <c r="CS40" s="18">
        <v>199.14</v>
      </c>
      <c r="CT40" s="18">
        <v>232.79</v>
      </c>
      <c r="CU40" s="18">
        <v>43.26</v>
      </c>
      <c r="CV40" s="18"/>
      <c r="CW40" s="18"/>
      <c r="CX40" s="18">
        <v>1304.3499999999999</v>
      </c>
      <c r="CY40" s="18">
        <v>129.12</v>
      </c>
      <c r="CZ40">
        <v>24.89</v>
      </c>
      <c r="DA40" s="18"/>
      <c r="DB40" s="18">
        <v>1544.53</v>
      </c>
      <c r="DC40" s="18"/>
      <c r="DD40" s="18">
        <v>341.38</v>
      </c>
      <c r="DE40" s="18"/>
      <c r="DF40" s="19">
        <f>221.34+38.92</f>
        <v>260.26</v>
      </c>
      <c r="DG40" s="18">
        <v>42.68</v>
      </c>
      <c r="DH40" s="18"/>
      <c r="DI40" s="18"/>
      <c r="DJ40" s="22">
        <v>4139.34</v>
      </c>
      <c r="DK40" s="7">
        <f t="shared" si="2"/>
        <v>3647.2099999999996</v>
      </c>
    </row>
    <row r="41" spans="1:115" hidden="1" x14ac:dyDescent="0.25">
      <c r="A41" s="4">
        <v>1</v>
      </c>
      <c r="B41" s="9" t="s">
        <v>99</v>
      </c>
      <c r="C41" s="9" t="s">
        <v>98</v>
      </c>
      <c r="D41" s="8">
        <v>43073</v>
      </c>
      <c r="E41" s="2" t="s">
        <v>6</v>
      </c>
      <c r="F41" s="3"/>
      <c r="G41" s="3"/>
      <c r="H41" s="18"/>
      <c r="I41" s="3"/>
      <c r="J41" s="3"/>
      <c r="K41" s="18"/>
      <c r="L41" s="18"/>
      <c r="M41" s="18"/>
      <c r="N41" s="18">
        <v>6271.94</v>
      </c>
      <c r="O41" s="18"/>
      <c r="P41" s="18"/>
      <c r="Q41" s="18"/>
      <c r="R41" s="18"/>
      <c r="S41" s="18"/>
      <c r="T41" s="18">
        <v>11460.82</v>
      </c>
      <c r="U41" s="18"/>
      <c r="V41" s="18">
        <f>((7308.01)*24.75%)</f>
        <v>1808.732475</v>
      </c>
      <c r="W41" s="18"/>
      <c r="X41" s="18">
        <f>((7308.01)*8%)</f>
        <v>584.64080000000001</v>
      </c>
      <c r="Y41" s="18"/>
      <c r="Z41" s="18">
        <v>1036.07</v>
      </c>
      <c r="AA41" s="18">
        <f t="shared" ref="AA41" si="35">((7308.01)*1%)</f>
        <v>73.080100000000002</v>
      </c>
      <c r="AB41" s="18"/>
      <c r="AC41" s="18"/>
      <c r="AD41" s="18"/>
      <c r="AE41" s="18"/>
      <c r="AF41" s="18">
        <f>713.08+((15178.17)*24.75%)</f>
        <v>4469.6770750000005</v>
      </c>
      <c r="AG41" s="18"/>
      <c r="AH41" s="18">
        <f>((15178.17)*8%)</f>
        <v>1214.2536</v>
      </c>
      <c r="AI41" s="18"/>
      <c r="AJ41" s="18">
        <v>3004.27</v>
      </c>
      <c r="AK41" s="18">
        <f>((15178.17)*1%)</f>
        <v>151.7817</v>
      </c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U41" s="18"/>
      <c r="CV41" s="18"/>
      <c r="CW41" s="18"/>
      <c r="DA41" s="18"/>
      <c r="DC41" s="18"/>
      <c r="DE41" s="18"/>
      <c r="DF41" s="23"/>
      <c r="DG41" s="23"/>
      <c r="DH41" s="18"/>
      <c r="DI41" s="18"/>
      <c r="DJ41" s="22">
        <v>17318.29</v>
      </c>
      <c r="DK41" s="7">
        <f t="shared" si="2"/>
        <v>0</v>
      </c>
    </row>
    <row r="42" spans="1:115" hidden="1" x14ac:dyDescent="0.25">
      <c r="A42" s="4">
        <v>2</v>
      </c>
      <c r="B42" s="9" t="s">
        <v>70</v>
      </c>
      <c r="C42" s="9" t="s">
        <v>71</v>
      </c>
      <c r="D42" s="8">
        <v>42492</v>
      </c>
      <c r="E42" s="2" t="s">
        <v>6</v>
      </c>
      <c r="F42" s="18"/>
      <c r="G42" s="18"/>
      <c r="H42" s="18"/>
      <c r="I42" s="18"/>
      <c r="J42" s="18"/>
      <c r="K42" s="18"/>
      <c r="L42" s="18"/>
      <c r="M42" s="18"/>
      <c r="N42" s="18">
        <v>7215.85</v>
      </c>
      <c r="O42" s="18"/>
      <c r="P42" s="18"/>
      <c r="Q42" s="18"/>
      <c r="R42" s="18"/>
      <c r="S42" s="18"/>
      <c r="T42" s="18">
        <f>3789.53+3426.32</f>
        <v>7215.85</v>
      </c>
      <c r="U42" s="18"/>
      <c r="V42" s="18">
        <f>713.08+(9535.83*24.75%)</f>
        <v>3073.1979249999999</v>
      </c>
      <c r="W42" s="18"/>
      <c r="X42" s="18">
        <f>(9535.83*8%)</f>
        <v>762.8664</v>
      </c>
      <c r="Y42" s="18"/>
      <c r="Z42" s="18">
        <v>1556.9</v>
      </c>
      <c r="AA42" s="18">
        <f t="shared" ref="AA42" si="36">(9535.83*1%)</f>
        <v>95.3583</v>
      </c>
      <c r="AB42" s="18">
        <v>50</v>
      </c>
      <c r="AC42" s="18"/>
      <c r="AD42" s="18"/>
      <c r="AE42" s="18"/>
      <c r="AF42" s="18">
        <f>713.08+(9535.83*24.75%)</f>
        <v>3073.1979249999999</v>
      </c>
      <c r="AG42" s="18"/>
      <c r="AH42" s="18">
        <f>(9535.83*8%)</f>
        <v>762.8664</v>
      </c>
      <c r="AI42" s="18"/>
      <c r="AJ42" s="18">
        <v>1556.9</v>
      </c>
      <c r="AK42" s="18">
        <f>(9535.83*1%)</f>
        <v>95.3583</v>
      </c>
      <c r="AL42" s="18">
        <v>50</v>
      </c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U42" s="18"/>
      <c r="CV42" s="18"/>
      <c r="CW42" s="18"/>
      <c r="DA42" s="18"/>
      <c r="DC42" s="18"/>
      <c r="DE42" s="18"/>
      <c r="DF42" s="23"/>
      <c r="DG42" s="23"/>
      <c r="DH42" s="18"/>
      <c r="DI42" s="18"/>
      <c r="DJ42" s="22">
        <v>9728.68</v>
      </c>
      <c r="DK42" s="7">
        <f t="shared" si="2"/>
        <v>0</v>
      </c>
    </row>
    <row r="43" spans="1:115" x14ac:dyDescent="0.25">
      <c r="A43" s="4">
        <v>2</v>
      </c>
      <c r="B43" s="9" t="s">
        <v>72</v>
      </c>
      <c r="C43" s="9" t="s">
        <v>40</v>
      </c>
      <c r="D43" s="8">
        <v>43843</v>
      </c>
      <c r="E43" s="2" t="s">
        <v>6</v>
      </c>
      <c r="F43" s="18"/>
      <c r="G43" s="18"/>
      <c r="H43" s="18"/>
      <c r="I43" s="18"/>
      <c r="J43" s="18"/>
      <c r="K43" s="18"/>
      <c r="L43" s="18"/>
      <c r="M43" s="18"/>
      <c r="N43" s="18">
        <v>3210.31</v>
      </c>
      <c r="O43" s="18"/>
      <c r="P43" s="18"/>
      <c r="Q43" s="18"/>
      <c r="R43" s="18"/>
      <c r="S43" s="18"/>
      <c r="T43" s="19"/>
      <c r="U43" s="18"/>
      <c r="V43" s="18">
        <f>371.95+(3664.46*24.75%)</f>
        <v>1278.9038499999999</v>
      </c>
      <c r="W43" s="18"/>
      <c r="X43" s="18">
        <f>(3664.46*8%)</f>
        <v>293.15680000000003</v>
      </c>
      <c r="Y43" s="18"/>
      <c r="Z43" s="18">
        <v>82.2</v>
      </c>
      <c r="AA43" s="18">
        <f>(3664.46*1%)-0.01</f>
        <v>36.634600000000006</v>
      </c>
      <c r="AB43" s="18"/>
      <c r="AC43" s="18"/>
      <c r="AD43" s="18"/>
      <c r="AE43" s="18"/>
      <c r="AF43" s="19"/>
      <c r="AG43" s="18"/>
      <c r="AH43" s="19"/>
      <c r="AI43" s="18"/>
      <c r="AJ43" s="19"/>
      <c r="AK43" s="19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>
        <f>1465.78+1744.53</f>
        <v>3210.31</v>
      </c>
      <c r="AY43" s="18"/>
      <c r="AZ43" s="18"/>
      <c r="BA43" s="18"/>
      <c r="BB43" s="18"/>
      <c r="BC43" s="18"/>
      <c r="BD43" s="18"/>
      <c r="BE43" s="18"/>
      <c r="BF43" s="18"/>
      <c r="BG43" s="18"/>
      <c r="BH43" s="18">
        <f>1465.78+1867.75</f>
        <v>3333.5299999999997</v>
      </c>
      <c r="BI43" s="18"/>
      <c r="BJ43" s="18">
        <f>371.95+(3664.46*25.5%)</f>
        <v>1306.3873000000001</v>
      </c>
      <c r="BK43" s="18"/>
      <c r="BL43" s="18">
        <f>(3664.46*8%)</f>
        <v>293.15680000000003</v>
      </c>
      <c r="BM43" s="18"/>
      <c r="BN43" s="18">
        <v>82.2</v>
      </c>
      <c r="BO43" s="18">
        <f>(3664.46*1%)</f>
        <v>36.644600000000004</v>
      </c>
      <c r="BP43" s="18"/>
      <c r="BQ43" s="18"/>
      <c r="BR43" s="18">
        <f>1499.5+1772.42</f>
        <v>3271.92</v>
      </c>
      <c r="BS43" s="18"/>
      <c r="BT43" s="18">
        <f>(395.55+(3833.02*25.5%))</f>
        <v>1372.9701</v>
      </c>
      <c r="BU43" s="18"/>
      <c r="BV43" s="18">
        <f>(3833.02*8%)</f>
        <v>306.64159999999998</v>
      </c>
      <c r="BW43" s="18"/>
      <c r="BX43" s="18">
        <v>103.94</v>
      </c>
      <c r="BY43" s="18">
        <f>(3833.02*1%)</f>
        <v>38.330199999999998</v>
      </c>
      <c r="BZ43" s="18"/>
      <c r="CA43" s="18"/>
      <c r="CB43" s="18">
        <f>1499.5+1814.2</f>
        <v>3313.7</v>
      </c>
      <c r="CC43" s="18">
        <v>1914.7100000000003</v>
      </c>
      <c r="CD43" s="18"/>
      <c r="CE43" s="18">
        <f>(383.75+(3748.74*25.5%))</f>
        <v>1339.6786999999999</v>
      </c>
      <c r="CF43" s="18"/>
      <c r="CG43" s="18">
        <f>(3748.74*8%)</f>
        <v>299.89920000000001</v>
      </c>
      <c r="CH43" s="18"/>
      <c r="CI43" s="18">
        <v>93.07</v>
      </c>
      <c r="CJ43" s="18">
        <f>(3748.74*1%)</f>
        <v>37.487400000000001</v>
      </c>
      <c r="CK43" s="18"/>
      <c r="CL43" s="18"/>
      <c r="CM43" s="18">
        <v>3282.36</v>
      </c>
      <c r="CN43" s="18">
        <v>784.77</v>
      </c>
      <c r="CO43" s="18"/>
      <c r="CP43" s="18">
        <v>1362.27</v>
      </c>
      <c r="CQ43" s="18"/>
      <c r="CR43" s="18">
        <v>304.47000000000003</v>
      </c>
      <c r="CS43" s="18">
        <v>175.61</v>
      </c>
      <c r="CT43" s="18">
        <v>100.45</v>
      </c>
      <c r="CU43" s="18">
        <v>38.06</v>
      </c>
      <c r="CV43" s="18"/>
      <c r="CW43" s="18"/>
      <c r="CX43" s="18">
        <v>3288.86</v>
      </c>
      <c r="CY43" s="18">
        <v>55.37</v>
      </c>
      <c r="CZ43">
        <v>21.95</v>
      </c>
      <c r="DA43" s="18"/>
      <c r="DB43" s="18">
        <v>1345.33</v>
      </c>
      <c r="DC43" s="18"/>
      <c r="DD43" s="18">
        <v>301.04000000000002</v>
      </c>
      <c r="DE43" s="18"/>
      <c r="DF43" s="18">
        <v>94.91</v>
      </c>
      <c r="DG43" s="18">
        <v>37.64</v>
      </c>
      <c r="DH43" s="18"/>
      <c r="DI43" s="18"/>
      <c r="DJ43" s="22">
        <v>3763.03</v>
      </c>
      <c r="DK43" s="7">
        <f t="shared" si="2"/>
        <v>5145.1000000000004</v>
      </c>
    </row>
    <row r="44" spans="1:115" x14ac:dyDescent="0.25">
      <c r="A44" s="4">
        <v>2</v>
      </c>
      <c r="B44" s="9" t="s">
        <v>85</v>
      </c>
      <c r="C44" s="9" t="s">
        <v>73</v>
      </c>
      <c r="D44" s="8">
        <v>41373</v>
      </c>
      <c r="E44" s="2" t="s">
        <v>6</v>
      </c>
      <c r="F44" s="18"/>
      <c r="G44" s="18"/>
      <c r="H44" s="18"/>
      <c r="I44" s="18"/>
      <c r="J44" s="18"/>
      <c r="K44" s="18"/>
      <c r="L44" s="18"/>
      <c r="M44" s="18"/>
      <c r="N44" s="18">
        <v>7285</v>
      </c>
      <c r="O44" s="18"/>
      <c r="P44" s="18"/>
      <c r="Q44" s="18"/>
      <c r="R44" s="18"/>
      <c r="S44" s="18"/>
      <c r="T44" s="18">
        <f>3789.53+4366.98</f>
        <v>8156.51</v>
      </c>
      <c r="U44" s="18"/>
      <c r="V44" s="18">
        <f>713.08+(9597.83*24.75%)</f>
        <v>3088.5429249999997</v>
      </c>
      <c r="W44" s="18"/>
      <c r="X44" s="18">
        <f>(9597.83*8%)</f>
        <v>767.82640000000004</v>
      </c>
      <c r="Y44" s="18"/>
      <c r="Z44" s="18">
        <v>1521.81</v>
      </c>
      <c r="AA44" s="18">
        <f t="shared" ref="AA44" si="37">(9597.83*1%)</f>
        <v>95.978300000000004</v>
      </c>
      <c r="AB44" s="18"/>
      <c r="AC44" s="18">
        <v>77.94</v>
      </c>
      <c r="AD44" s="18"/>
      <c r="AE44" s="18"/>
      <c r="AF44" s="18">
        <f>713.08+(9597.83*24.75%)</f>
        <v>3088.5429249999997</v>
      </c>
      <c r="AG44" s="18">
        <v>176.08</v>
      </c>
      <c r="AH44" s="18">
        <f>(9597.83*8%)</f>
        <v>767.82640000000004</v>
      </c>
      <c r="AI44" s="18">
        <f>56.92-0.01</f>
        <v>56.910000000000004</v>
      </c>
      <c r="AJ44" s="18">
        <v>1717.46</v>
      </c>
      <c r="AK44" s="19">
        <f>(9597.83*1%)+7.11</f>
        <v>103.0883</v>
      </c>
      <c r="AL44" s="18"/>
      <c r="AM44" s="18">
        <v>77.94</v>
      </c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>
        <f>3789.53+3495.47</f>
        <v>7285</v>
      </c>
      <c r="AY44" s="18"/>
      <c r="AZ44" s="18"/>
      <c r="BA44" s="18"/>
      <c r="BB44" s="18"/>
      <c r="BC44" s="18"/>
      <c r="BD44" s="18"/>
      <c r="BE44" s="18"/>
      <c r="BF44" s="18"/>
      <c r="BG44" s="18"/>
      <c r="BH44" s="18">
        <f>3789.53+3811.43</f>
        <v>7600.96</v>
      </c>
      <c r="BI44" s="18"/>
      <c r="BJ44" s="18">
        <f>713.08+(9597.83*25.5%)</f>
        <v>3160.5266499999998</v>
      </c>
      <c r="BK44" s="18"/>
      <c r="BL44" s="18">
        <f>(9597.83*8%)</f>
        <v>767.82640000000004</v>
      </c>
      <c r="BM44" s="18"/>
      <c r="BN44" s="18">
        <v>1521.81</v>
      </c>
      <c r="BO44" s="18">
        <f>(9597.83*1%)</f>
        <v>95.978300000000004</v>
      </c>
      <c r="BP44" s="18"/>
      <c r="BQ44" s="18">
        <v>77.94</v>
      </c>
      <c r="BR44" s="18">
        <f>3876.69+3566.29</f>
        <v>7442.98</v>
      </c>
      <c r="BS44" s="18"/>
      <c r="BT44" s="18">
        <f>(713.08+(10033.63*25.5%))</f>
        <v>3271.6556499999997</v>
      </c>
      <c r="BU44" s="18"/>
      <c r="BV44" s="18">
        <f>(10033.63*8%)</f>
        <v>802.69039999999995</v>
      </c>
      <c r="BW44" s="18"/>
      <c r="BX44" s="18">
        <v>1641.65</v>
      </c>
      <c r="BY44" s="18">
        <f>(10033.63*1%)</f>
        <v>100.33629999999999</v>
      </c>
      <c r="BZ44" s="18"/>
      <c r="CA44" s="18">
        <v>77.94</v>
      </c>
      <c r="CB44" s="18">
        <f>3876.69+3683.48</f>
        <v>7560.17</v>
      </c>
      <c r="CC44" s="18">
        <v>4404.5225000000009</v>
      </c>
      <c r="CD44" s="18"/>
      <c r="CE44" s="18">
        <f>(713.08+(9815.73*25.5%))</f>
        <v>3216.0911499999997</v>
      </c>
      <c r="CF44" s="18"/>
      <c r="CG44" s="18">
        <f>(9815.73*8%)</f>
        <v>785.25839999999994</v>
      </c>
      <c r="CH44" s="18"/>
      <c r="CI44" s="18">
        <v>1581.73</v>
      </c>
      <c r="CJ44" s="18">
        <f>(9815.73*1%)</f>
        <v>98.157299999999992</v>
      </c>
      <c r="CK44" s="18"/>
      <c r="CL44" s="18">
        <v>77.94</v>
      </c>
      <c r="CM44" s="18">
        <v>7471.1100000000006</v>
      </c>
      <c r="CN44" s="18">
        <v>1882.15</v>
      </c>
      <c r="CO44" s="18"/>
      <c r="CP44" s="18">
        <v>3257.87</v>
      </c>
      <c r="CQ44" s="18"/>
      <c r="CR44" s="18">
        <v>798.36</v>
      </c>
      <c r="CS44" s="18">
        <v>459.98</v>
      </c>
      <c r="CT44" s="18">
        <v>1626.78</v>
      </c>
      <c r="CU44" s="18">
        <v>99.79</v>
      </c>
      <c r="CV44" s="18"/>
      <c r="CW44" s="18">
        <v>79.5</v>
      </c>
      <c r="CX44" s="18">
        <v>7442.91</v>
      </c>
      <c r="CY44" s="18">
        <v>929.24</v>
      </c>
      <c r="CZ44" s="18">
        <v>57.5</v>
      </c>
      <c r="DA44" s="18"/>
      <c r="DB44" s="18">
        <v>3226.5299999999997</v>
      </c>
      <c r="DC44" s="18"/>
      <c r="DD44" s="18">
        <v>788.53</v>
      </c>
      <c r="DE44" s="18"/>
      <c r="DF44" s="18">
        <v>1592.9900000000002</v>
      </c>
      <c r="DG44" s="18">
        <v>98.58</v>
      </c>
      <c r="DH44" s="18"/>
      <c r="DI44" s="18">
        <v>79.5</v>
      </c>
      <c r="DJ44" s="22">
        <v>9728.68</v>
      </c>
      <c r="DK44" s="7">
        <f t="shared" si="2"/>
        <v>14215.78</v>
      </c>
    </row>
    <row r="45" spans="1:115" x14ac:dyDescent="0.25">
      <c r="A45" s="4">
        <v>2</v>
      </c>
      <c r="B45" s="9" t="s">
        <v>74</v>
      </c>
      <c r="C45" s="9" t="s">
        <v>75</v>
      </c>
      <c r="D45" s="8">
        <v>40679</v>
      </c>
      <c r="E45" s="2" t="s">
        <v>6</v>
      </c>
      <c r="F45" s="18"/>
      <c r="G45" s="18"/>
      <c r="H45" s="18"/>
      <c r="I45" s="18"/>
      <c r="J45" s="18"/>
      <c r="K45" s="18"/>
      <c r="L45" s="18"/>
      <c r="M45" s="18"/>
      <c r="N45" s="18">
        <v>5185.43</v>
      </c>
      <c r="O45" s="18"/>
      <c r="P45" s="18"/>
      <c r="Q45" s="18"/>
      <c r="R45" s="18"/>
      <c r="S45" s="18"/>
      <c r="T45" s="18">
        <f>2644.5+2540.93</f>
        <v>5185.43</v>
      </c>
      <c r="U45" s="18"/>
      <c r="V45" s="18">
        <f>713.08+(6735.25*24.75%)</f>
        <v>2380.0543750000002</v>
      </c>
      <c r="W45" s="18"/>
      <c r="X45" s="18">
        <f>(6735.25*8%)</f>
        <v>538.82000000000005</v>
      </c>
      <c r="Y45" s="18"/>
      <c r="Z45" s="18">
        <v>786.74</v>
      </c>
      <c r="AA45" s="18">
        <f t="shared" ref="AA45" si="38">(6735.25*1%)</f>
        <v>67.352500000000006</v>
      </c>
      <c r="AB45" s="18">
        <v>50</v>
      </c>
      <c r="AC45" s="18"/>
      <c r="AD45" s="18">
        <v>5230.38</v>
      </c>
      <c r="AE45" s="18"/>
      <c r="AF45" s="18">
        <f>713.08+(6735.25*24.75%)</f>
        <v>2380.0543750000002</v>
      </c>
      <c r="AG45" s="18"/>
      <c r="AH45" s="18">
        <f>(6735.25*8%)</f>
        <v>538.82000000000005</v>
      </c>
      <c r="AI45" s="18"/>
      <c r="AJ45" s="18">
        <v>786.74</v>
      </c>
      <c r="AK45" s="18">
        <f>(6735.25*1%)</f>
        <v>67.352500000000006</v>
      </c>
      <c r="AL45" s="18">
        <v>50</v>
      </c>
      <c r="AM45" s="18"/>
      <c r="AN45" s="18">
        <f>2644.5+2585.88</f>
        <v>5230.38</v>
      </c>
      <c r="AO45" s="18"/>
      <c r="AP45" s="18">
        <f>713.08+(6797.25*24.75%)</f>
        <v>2395.399375</v>
      </c>
      <c r="AQ45" s="18"/>
      <c r="AR45" s="18">
        <f>(6797.25*8%)</f>
        <v>543.78</v>
      </c>
      <c r="AS45" s="18"/>
      <c r="AT45" s="18">
        <v>803.79</v>
      </c>
      <c r="AU45" s="18">
        <f>(6797.25*1%)</f>
        <v>67.972499999999997</v>
      </c>
      <c r="AV45" s="18">
        <v>50</v>
      </c>
      <c r="AW45" s="18"/>
      <c r="AX45" s="18">
        <f>2644.5+2585.88</f>
        <v>5230.38</v>
      </c>
      <c r="AY45" s="18"/>
      <c r="AZ45" s="18">
        <f>713.08+(6797.25*25.5%)</f>
        <v>2446.3787499999999</v>
      </c>
      <c r="BA45" s="18"/>
      <c r="BB45" s="18">
        <f>(6797.25*8%)</f>
        <v>543.78</v>
      </c>
      <c r="BC45" s="18"/>
      <c r="BD45" s="18">
        <v>803.79</v>
      </c>
      <c r="BE45" s="18">
        <f>(6797.25*1%)</f>
        <v>67.972499999999997</v>
      </c>
      <c r="BF45" s="18">
        <v>50</v>
      </c>
      <c r="BG45" s="18"/>
      <c r="BH45" s="18">
        <f>2644.5+2858.51</f>
        <v>5503.01</v>
      </c>
      <c r="BI45" s="18"/>
      <c r="BJ45" s="18">
        <f>713.08+(6797.25*25.5%)</f>
        <v>2446.3787499999999</v>
      </c>
      <c r="BK45" s="18"/>
      <c r="BL45" s="18">
        <f>(6797.25*8%)</f>
        <v>543.78</v>
      </c>
      <c r="BM45" s="18"/>
      <c r="BN45" s="18">
        <v>803.79</v>
      </c>
      <c r="BO45" s="18">
        <f>(6797.25*1%)</f>
        <v>67.972499999999997</v>
      </c>
      <c r="BP45" s="18">
        <v>50</v>
      </c>
      <c r="BQ45" s="18"/>
      <c r="BR45" s="18">
        <f>2705.32+2583.17</f>
        <v>5288.49</v>
      </c>
      <c r="BS45" s="18"/>
      <c r="BT45" s="18">
        <f>(713.08+(7101.37*25.5%))</f>
        <v>2523.9293499999999</v>
      </c>
      <c r="BU45" s="18"/>
      <c r="BV45" s="18">
        <f>(7101.37*8%)</f>
        <v>568.1096</v>
      </c>
      <c r="BW45" s="18"/>
      <c r="BX45" s="18">
        <v>835.28</v>
      </c>
      <c r="BY45" s="18">
        <f>(7101.37*1%)</f>
        <v>71.0137</v>
      </c>
      <c r="BZ45" s="18">
        <v>50</v>
      </c>
      <c r="CA45" s="18"/>
      <c r="CB45" s="18">
        <v>2439.5</v>
      </c>
      <c r="CC45" s="18">
        <v>3157.9741666666664</v>
      </c>
      <c r="CD45" s="18"/>
      <c r="CE45" s="18">
        <f>(713.08+(6949.31*25.5%))</f>
        <v>2485.1540500000001</v>
      </c>
      <c r="CF45" s="18"/>
      <c r="CG45" s="18">
        <f>(6949.31*8%)</f>
        <v>555.9448000000001</v>
      </c>
      <c r="CH45" s="18"/>
      <c r="CI45" s="18">
        <v>897.74</v>
      </c>
      <c r="CJ45" s="18">
        <f>(6949.31*1%)</f>
        <v>69.493100000000013</v>
      </c>
      <c r="CK45" s="18">
        <v>50</v>
      </c>
      <c r="CL45" s="18"/>
      <c r="CM45" s="18">
        <v>5363.67</v>
      </c>
      <c r="CN45" s="18">
        <v>1454.39</v>
      </c>
      <c r="CO45" s="18"/>
      <c r="CP45" s="18">
        <v>657.55</v>
      </c>
      <c r="CQ45" s="18"/>
      <c r="CR45" s="18">
        <v>206.29000000000002</v>
      </c>
      <c r="CS45" s="18">
        <v>325.77999999999997</v>
      </c>
      <c r="CT45" s="18">
        <v>103.25</v>
      </c>
      <c r="CU45" s="18">
        <v>25.79</v>
      </c>
      <c r="CV45" s="18">
        <v>50</v>
      </c>
      <c r="CW45" s="18"/>
      <c r="CX45" s="18">
        <v>5335.47</v>
      </c>
      <c r="CY45" s="18">
        <v>498.37</v>
      </c>
      <c r="CZ45" s="18">
        <v>40.72</v>
      </c>
      <c r="DA45" s="18"/>
      <c r="DB45" s="18">
        <v>2493.2599999999998</v>
      </c>
      <c r="DC45" s="18"/>
      <c r="DD45" s="18">
        <v>558.48</v>
      </c>
      <c r="DE45" s="18"/>
      <c r="DF45" s="18">
        <v>854.34</v>
      </c>
      <c r="DG45" s="18">
        <v>69.820000000000007</v>
      </c>
      <c r="DH45" s="18">
        <v>50</v>
      </c>
      <c r="DI45" s="18"/>
      <c r="DJ45" s="22">
        <v>6789.09</v>
      </c>
      <c r="DK45" s="7">
        <f t="shared" si="2"/>
        <v>9900.4599999999991</v>
      </c>
    </row>
    <row r="46" spans="1:115" x14ac:dyDescent="0.25">
      <c r="A46" s="4">
        <v>2</v>
      </c>
      <c r="B46" s="9" t="s">
        <v>76</v>
      </c>
      <c r="C46" s="9" t="s">
        <v>77</v>
      </c>
      <c r="D46" s="8">
        <v>43864</v>
      </c>
      <c r="E46" s="2" t="s">
        <v>6</v>
      </c>
      <c r="F46" s="18"/>
      <c r="G46" s="18"/>
      <c r="H46" s="18"/>
      <c r="I46" s="18"/>
      <c r="J46" s="18"/>
      <c r="K46" s="18"/>
      <c r="L46" s="18"/>
      <c r="M46" s="18"/>
      <c r="N46" s="18">
        <v>2221.58</v>
      </c>
      <c r="O46" s="18"/>
      <c r="P46" s="18"/>
      <c r="Q46" s="18"/>
      <c r="R46" s="18"/>
      <c r="S46" s="18"/>
      <c r="T46" s="18">
        <f>985.89+1235.69</f>
        <v>2221.58</v>
      </c>
      <c r="U46" s="18"/>
      <c r="V46" s="18">
        <f>217.39+(2464.72*24.75%)</f>
        <v>827.40819999999997</v>
      </c>
      <c r="W46" s="18"/>
      <c r="X46" s="18">
        <f>(2464.72*8%)</f>
        <v>197.17759999999998</v>
      </c>
      <c r="Y46" s="18"/>
      <c r="Z46" s="18">
        <v>25.75</v>
      </c>
      <c r="AA46" s="18">
        <f t="shared" ref="AA46" si="39">(2464.72*1%)</f>
        <v>24.647199999999998</v>
      </c>
      <c r="AB46" s="18"/>
      <c r="AC46" s="18"/>
      <c r="AD46" s="18">
        <v>2221.58</v>
      </c>
      <c r="AE46" s="18"/>
      <c r="AF46" s="18">
        <f>217.39+(2464.72*24.75%)</f>
        <v>827.40819999999997</v>
      </c>
      <c r="AG46" s="18"/>
      <c r="AH46" s="18">
        <f>(2464.72*8%)</f>
        <v>197.17759999999998</v>
      </c>
      <c r="AI46" s="18"/>
      <c r="AJ46" s="18">
        <v>25.75</v>
      </c>
      <c r="AK46" s="18">
        <f>(2464.72*1%)</f>
        <v>24.647199999999998</v>
      </c>
      <c r="AL46" s="18"/>
      <c r="AM46" s="18"/>
      <c r="AN46" s="18">
        <f>985.89+1235.69</f>
        <v>2221.58</v>
      </c>
      <c r="AO46" s="18"/>
      <c r="AP46" s="18">
        <f>217.39+(2464.72*24.75%)</f>
        <v>827.40819999999997</v>
      </c>
      <c r="AQ46" s="18"/>
      <c r="AR46" s="18">
        <f>(2464.72*8%)</f>
        <v>197.17759999999998</v>
      </c>
      <c r="AS46" s="18"/>
      <c r="AT46" s="18">
        <v>25.75</v>
      </c>
      <c r="AU46" s="18">
        <f>(2464.72*1%)</f>
        <v>24.647199999999998</v>
      </c>
      <c r="AV46" s="18"/>
      <c r="AW46" s="18"/>
      <c r="AX46" s="18">
        <f>985.89+1235.69</f>
        <v>2221.58</v>
      </c>
      <c r="AY46" s="18"/>
      <c r="AZ46" s="18">
        <f>217.39+(2464.72*25.5%)</f>
        <v>845.89359999999999</v>
      </c>
      <c r="BA46" s="18"/>
      <c r="BB46" s="18">
        <f>(2464.72*8%)</f>
        <v>197.17759999999998</v>
      </c>
      <c r="BC46" s="18"/>
      <c r="BD46" s="18">
        <v>25.75</v>
      </c>
      <c r="BE46" s="18">
        <f>(2464.72*1%)</f>
        <v>24.647199999999998</v>
      </c>
      <c r="BF46" s="18"/>
      <c r="BG46" s="18"/>
      <c r="BH46" s="18">
        <f>985.89+1327.98</f>
        <v>2313.87</v>
      </c>
      <c r="BI46" s="18"/>
      <c r="BJ46" s="18">
        <f>217.39+(2464.72*25.5%)</f>
        <v>845.89359999999999</v>
      </c>
      <c r="BK46" s="18"/>
      <c r="BL46" s="18">
        <f>(2464.72*8%)</f>
        <v>197.17759999999998</v>
      </c>
      <c r="BM46" s="18"/>
      <c r="BN46" s="18">
        <v>25.75</v>
      </c>
      <c r="BO46" s="18">
        <f>(2464.72*1%)</f>
        <v>24.647199999999998</v>
      </c>
      <c r="BP46" s="18"/>
      <c r="BQ46" s="18"/>
      <c r="BR46" s="18">
        <f>1008.56+1259.17</f>
        <v>2267.73</v>
      </c>
      <c r="BS46" s="18"/>
      <c r="BT46" s="18">
        <f>(231+(2578.1*25.5%))</f>
        <v>888.41549999999995</v>
      </c>
      <c r="BU46" s="18"/>
      <c r="BV46" s="18">
        <f>(2578.1*8%)</f>
        <v>206.24799999999999</v>
      </c>
      <c r="BW46" s="18"/>
      <c r="BX46" s="18">
        <v>33.229999999999997</v>
      </c>
      <c r="BY46" s="18">
        <f>(2578.1*1%)</f>
        <v>25.780999999999999</v>
      </c>
      <c r="BZ46" s="18"/>
      <c r="CA46" s="18"/>
      <c r="CB46" s="18">
        <f>1008.56+1290.45</f>
        <v>2299.0100000000002</v>
      </c>
      <c r="CC46" s="18">
        <v>1338.8210606060607</v>
      </c>
      <c r="CD46" s="18"/>
      <c r="CE46" s="18">
        <f>(224.19+(2521.41*25.5%))</f>
        <v>867.14954999999986</v>
      </c>
      <c r="CF46" s="18"/>
      <c r="CG46" s="18">
        <f>(2521.41*8%)</f>
        <v>201.71279999999999</v>
      </c>
      <c r="CH46" s="18"/>
      <c r="CI46" s="18">
        <v>29.49</v>
      </c>
      <c r="CJ46" s="18">
        <f>(2521.41*1%)</f>
        <v>25.214099999999998</v>
      </c>
      <c r="CK46" s="18"/>
      <c r="CL46" s="18"/>
      <c r="CM46" s="18">
        <v>2275.5500000000002</v>
      </c>
      <c r="CN46" s="18">
        <v>503.79</v>
      </c>
      <c r="CO46" s="18"/>
      <c r="CP46" s="18">
        <v>881.57</v>
      </c>
      <c r="CQ46" s="18"/>
      <c r="CR46" s="18">
        <v>204.78</v>
      </c>
      <c r="CS46" s="18">
        <v>118.11</v>
      </c>
      <c r="CT46" s="18">
        <v>32.04</v>
      </c>
      <c r="CU46" s="18">
        <v>25.6</v>
      </c>
      <c r="CV46" s="18"/>
      <c r="CW46" s="18"/>
      <c r="CX46" s="18">
        <f>2279.46+0.01</f>
        <v>2279.4700000000003</v>
      </c>
      <c r="CY46" s="18">
        <v>10.31</v>
      </c>
      <c r="CZ46" s="18">
        <v>14.76</v>
      </c>
      <c r="DA46" s="18"/>
      <c r="DB46" s="18">
        <v>870.74</v>
      </c>
      <c r="DC46" s="18"/>
      <c r="DD46" s="18">
        <v>202.48</v>
      </c>
      <c r="DE46" s="18"/>
      <c r="DF46" s="18">
        <v>30.14</v>
      </c>
      <c r="DG46" s="18">
        <v>25.32</v>
      </c>
      <c r="DH46" s="18"/>
      <c r="DI46" s="18"/>
      <c r="DJ46" s="22">
        <v>2531.02</v>
      </c>
      <c r="DK46" s="7">
        <f t="shared" si="2"/>
        <v>3433.2200000000007</v>
      </c>
    </row>
    <row r="47" spans="1:115" x14ac:dyDescent="0.25">
      <c r="A47" s="4">
        <v>2</v>
      </c>
      <c r="B47" s="9" t="s">
        <v>78</v>
      </c>
      <c r="C47" s="9" t="s">
        <v>79</v>
      </c>
      <c r="D47" s="8">
        <v>42543</v>
      </c>
      <c r="E47" s="2" t="s">
        <v>6</v>
      </c>
      <c r="F47" s="18"/>
      <c r="G47" s="18"/>
      <c r="H47" s="18"/>
      <c r="I47" s="18"/>
      <c r="J47" s="18"/>
      <c r="K47" s="18"/>
      <c r="L47" s="18"/>
      <c r="M47" s="18"/>
      <c r="N47" s="18">
        <v>3743.84</v>
      </c>
      <c r="O47" s="18"/>
      <c r="P47" s="18"/>
      <c r="Q47" s="18"/>
      <c r="R47" s="18"/>
      <c r="S47" s="18"/>
      <c r="T47" s="18">
        <f>1749.07+1994.77</f>
        <v>3743.84</v>
      </c>
      <c r="U47" s="18"/>
      <c r="V47" s="18">
        <f>479.78+(4434.68*24.75%)-0.01</f>
        <v>1577.3533</v>
      </c>
      <c r="W47" s="18"/>
      <c r="X47" s="18">
        <f>(4434.68*8%)</f>
        <v>354.77440000000001</v>
      </c>
      <c r="Y47" s="18"/>
      <c r="Z47" s="18">
        <v>211.06</v>
      </c>
      <c r="AA47" s="18">
        <f t="shared" ref="AA47" si="40">(4434.68*1%)</f>
        <v>44.346800000000002</v>
      </c>
      <c r="AB47" s="18"/>
      <c r="AC47" s="18"/>
      <c r="AD47" s="18"/>
      <c r="AE47" s="18"/>
      <c r="AF47" s="18">
        <f>479.78+(4434.68*24.75%)</f>
        <v>1577.3633</v>
      </c>
      <c r="AG47" s="18"/>
      <c r="AH47" s="18">
        <f>(4434.68*8%)+0.01</f>
        <v>354.78440000000001</v>
      </c>
      <c r="AI47" s="18"/>
      <c r="AJ47" s="18">
        <v>211.06</v>
      </c>
      <c r="AK47" s="18">
        <f>(4434.68*1%)</f>
        <v>44.346800000000002</v>
      </c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>
        <f>1749.07+1994.77</f>
        <v>3743.84</v>
      </c>
      <c r="AY47" s="18"/>
      <c r="AZ47" s="18"/>
      <c r="BA47" s="18"/>
      <c r="BB47" s="18"/>
      <c r="BC47" s="18"/>
      <c r="BD47" s="18"/>
      <c r="BE47" s="18"/>
      <c r="BF47" s="18"/>
      <c r="BG47" s="18"/>
      <c r="BH47" s="18">
        <f>1749.07+2128.82</f>
        <v>3877.8900000000003</v>
      </c>
      <c r="BI47" s="18"/>
      <c r="BJ47" s="18">
        <f>479.78+(4434.68*25.5%)</f>
        <v>1610.6234000000002</v>
      </c>
      <c r="BK47" s="18"/>
      <c r="BL47" s="18">
        <f>(4434.68*8%)</f>
        <v>354.77440000000001</v>
      </c>
      <c r="BM47" s="18"/>
      <c r="BN47" s="18">
        <v>211.06</v>
      </c>
      <c r="BO47" s="18">
        <f>(4434.68*1%)</f>
        <v>44.346800000000002</v>
      </c>
      <c r="BP47" s="18"/>
      <c r="BQ47" s="18"/>
      <c r="BR47" s="18">
        <f>1789.3+2021.56</f>
        <v>3810.8599999999997</v>
      </c>
      <c r="BS47" s="18"/>
      <c r="BT47" s="18">
        <f>(507.94+(4635.82*25.5%))</f>
        <v>1690.0741</v>
      </c>
      <c r="BU47" s="18"/>
      <c r="BV47" s="18">
        <f>(4635.82*8%)</f>
        <v>370.86559999999997</v>
      </c>
      <c r="BW47" s="18"/>
      <c r="BX47" s="18">
        <v>249.99</v>
      </c>
      <c r="BY47" s="18">
        <f>(4635.82*1%)</f>
        <v>46.358199999999997</v>
      </c>
      <c r="BZ47" s="18"/>
      <c r="CA47" s="18"/>
      <c r="CB47" s="18">
        <f>1789.3+2072.37</f>
        <v>3861.67</v>
      </c>
      <c r="CC47" s="18">
        <v>2230.4158333333335</v>
      </c>
      <c r="CD47" s="18"/>
      <c r="CE47" s="18">
        <f>(493.86+(4535.25*25.5%))</f>
        <v>1650.3487500000001</v>
      </c>
      <c r="CF47" s="18"/>
      <c r="CG47" s="18">
        <f>(4535.25*8%)</f>
        <v>362.82</v>
      </c>
      <c r="CH47" s="18"/>
      <c r="CI47" s="18">
        <v>230.52</v>
      </c>
      <c r="CJ47" s="18">
        <f>(4535.25*1%)</f>
        <v>45.352499999999999</v>
      </c>
      <c r="CK47" s="18"/>
      <c r="CL47" s="18"/>
      <c r="CM47" s="18">
        <v>3823.55</v>
      </c>
      <c r="CN47" s="18">
        <v>967.1</v>
      </c>
      <c r="CO47" s="18"/>
      <c r="CP47" s="18">
        <v>1680.48</v>
      </c>
      <c r="CQ47" s="18"/>
      <c r="CR47" s="18">
        <v>368.91</v>
      </c>
      <c r="CS47" s="18">
        <v>212.53</v>
      </c>
      <c r="CT47" s="18">
        <v>245.28</v>
      </c>
      <c r="CU47" s="18">
        <v>46.11</v>
      </c>
      <c r="CV47" s="18"/>
      <c r="CW47" s="18"/>
      <c r="CX47" s="18">
        <f>3829.49+0.01</f>
        <v>3829.5</v>
      </c>
      <c r="CY47" s="18">
        <v>136.62</v>
      </c>
      <c r="CZ47" s="18">
        <v>26.57</v>
      </c>
      <c r="DA47" s="18"/>
      <c r="DB47" s="18">
        <v>1657.88</v>
      </c>
      <c r="DC47" s="18"/>
      <c r="DD47" s="18">
        <v>364.34</v>
      </c>
      <c r="DE47" s="18"/>
      <c r="DF47" s="18">
        <v>234.22</v>
      </c>
      <c r="DG47" s="18">
        <v>45.55</v>
      </c>
      <c r="DH47" s="18"/>
      <c r="DI47" s="18"/>
      <c r="DJ47" s="22">
        <v>4490.3100000000004</v>
      </c>
      <c r="DK47" s="7">
        <f t="shared" si="2"/>
        <v>6294.68</v>
      </c>
    </row>
    <row r="48" spans="1:115" x14ac:dyDescent="0.25">
      <c r="A48" s="4">
        <v>2</v>
      </c>
      <c r="B48" s="9" t="s">
        <v>80</v>
      </c>
      <c r="C48" s="9" t="s">
        <v>38</v>
      </c>
      <c r="D48" s="8">
        <v>40375</v>
      </c>
      <c r="E48" s="2" t="s">
        <v>6</v>
      </c>
      <c r="F48" s="18"/>
      <c r="G48" s="18"/>
      <c r="H48" s="18"/>
      <c r="I48" s="18"/>
      <c r="J48" s="18"/>
      <c r="K48" s="18"/>
      <c r="L48" s="18"/>
      <c r="M48" s="18"/>
      <c r="N48" s="18">
        <v>3471.2</v>
      </c>
      <c r="O48" s="18">
        <v>6352.41</v>
      </c>
      <c r="P48" s="18"/>
      <c r="Q48" s="18"/>
      <c r="R48" s="18"/>
      <c r="S48" s="18"/>
      <c r="T48" s="18">
        <f>2043.06+994.16</f>
        <v>3037.22</v>
      </c>
      <c r="U48" s="18"/>
      <c r="V48" s="18">
        <f>195.37+((3575.35+186)*24.75%)</f>
        <v>1126.3041250000001</v>
      </c>
      <c r="W48" s="18">
        <v>1682.3</v>
      </c>
      <c r="X48" s="18">
        <f>((3575.35+186)*8%)</f>
        <v>300.90800000000002</v>
      </c>
      <c r="Y48" s="18">
        <v>376.44</v>
      </c>
      <c r="Z48" s="19">
        <f>94.78+188.05</f>
        <v>282.83000000000004</v>
      </c>
      <c r="AA48" s="19">
        <f t="shared" ref="AA48" si="41">((3575.35+186)*1%)+52.94</f>
        <v>90.5535</v>
      </c>
      <c r="AB48" s="18"/>
      <c r="AC48" s="18"/>
      <c r="AD48" s="18">
        <v>4239.6399999999994</v>
      </c>
      <c r="AE48" s="18"/>
      <c r="AF48" s="18">
        <f>337.85+((3234.84+186)*24.75%)</f>
        <v>1184.5079000000001</v>
      </c>
      <c r="AG48" s="18"/>
      <c r="AH48" s="18">
        <f>((3420.84)*8%)+0.01</f>
        <v>273.67720000000003</v>
      </c>
      <c r="AI48" s="18"/>
      <c r="AJ48" s="18">
        <v>45.77</v>
      </c>
      <c r="AK48" s="18">
        <f>((3420.84)*1%)</f>
        <v>34.208400000000005</v>
      </c>
      <c r="AL48" s="18"/>
      <c r="AM48" s="18"/>
      <c r="AN48" s="18">
        <f>2043.06+2358.58</f>
        <v>4401.6399999999994</v>
      </c>
      <c r="AO48" s="18"/>
      <c r="AP48" s="18">
        <f>600.04+((5293.64)*24.75%)</f>
        <v>1910.2158999999999</v>
      </c>
      <c r="AQ48" s="18"/>
      <c r="AR48" s="18">
        <f>((5293.64)*8%)</f>
        <v>423.49120000000005</v>
      </c>
      <c r="AS48" s="18"/>
      <c r="AT48" s="18">
        <v>291.95999999999998</v>
      </c>
      <c r="AU48" s="18">
        <f>((5293.64)*1%)</f>
        <v>52.936400000000006</v>
      </c>
      <c r="AV48" s="18"/>
      <c r="AW48" s="20">
        <v>162</v>
      </c>
      <c r="AX48" s="18">
        <f>2043.06+2358.58</f>
        <v>4401.6399999999994</v>
      </c>
      <c r="AY48" s="18"/>
      <c r="AZ48" s="18">
        <f>600.04+((5293.64)*25.5%)</f>
        <v>1949.9182000000001</v>
      </c>
      <c r="BA48" s="18"/>
      <c r="BB48" s="18">
        <f>((5293.64)*8%)</f>
        <v>423.49120000000005</v>
      </c>
      <c r="BC48" s="18"/>
      <c r="BD48" s="18">
        <v>291.95999999999998</v>
      </c>
      <c r="BE48" s="18">
        <f>((5293.64)*1%)</f>
        <v>52.936400000000006</v>
      </c>
      <c r="BF48" s="18"/>
      <c r="BG48" s="18"/>
      <c r="BH48" s="18">
        <f>2043.06+2515.19</f>
        <v>4558.25</v>
      </c>
      <c r="BI48" s="18"/>
      <c r="BJ48" s="18">
        <f>600.04+((5293.64)*25.5%)</f>
        <v>1949.9182000000001</v>
      </c>
      <c r="BK48" s="18"/>
      <c r="BL48" s="18">
        <f>((5293.64)*8%)</f>
        <v>423.49120000000005</v>
      </c>
      <c r="BM48" s="18"/>
      <c r="BN48" s="18">
        <v>291.95999999999998</v>
      </c>
      <c r="BO48" s="18">
        <f>((5293.64)*1%)</f>
        <v>52.936400000000006</v>
      </c>
      <c r="BP48" s="18"/>
      <c r="BQ48" s="18"/>
      <c r="BR48" s="18">
        <f>2090.05+2389.89</f>
        <v>4479.9400000000005</v>
      </c>
      <c r="BS48" s="18"/>
      <c r="BT48" s="18">
        <f>(632.93+(5528.6*25.5%))</f>
        <v>2042.723</v>
      </c>
      <c r="BU48" s="18"/>
      <c r="BV48" s="18">
        <f>((5528.6)*8%)</f>
        <v>442.28800000000001</v>
      </c>
      <c r="BW48" s="18"/>
      <c r="BX48" s="18">
        <v>337.42</v>
      </c>
      <c r="BY48" s="18">
        <f>((5528.6)*1%)</f>
        <v>55.286000000000001</v>
      </c>
      <c r="BZ48" s="18"/>
      <c r="CA48" s="18"/>
      <c r="CB48" s="18">
        <f>2090.05+2459</f>
        <v>4549.05</v>
      </c>
      <c r="CC48" s="18">
        <v>2623.3783333333336</v>
      </c>
      <c r="CD48" s="18"/>
      <c r="CE48" s="18">
        <f>(616.49+(5411.12*25.5%))</f>
        <v>1996.3255999999999</v>
      </c>
      <c r="CF48" s="18"/>
      <c r="CG48" s="18">
        <f>(5411.12*8%)</f>
        <v>432.88959999999997</v>
      </c>
      <c r="CH48" s="18"/>
      <c r="CI48" s="18">
        <v>314.69</v>
      </c>
      <c r="CJ48" s="18">
        <f>(5411.12*1%)</f>
        <v>54.111199999999997</v>
      </c>
      <c r="CK48" s="18"/>
      <c r="CL48" s="18"/>
      <c r="CM48" s="18">
        <v>4497.21</v>
      </c>
      <c r="CN48" s="18">
        <v>1170.49</v>
      </c>
      <c r="CO48" s="18"/>
      <c r="CP48" s="18">
        <v>2037.29</v>
      </c>
      <c r="CQ48" s="18"/>
      <c r="CR48" s="18">
        <v>441.18</v>
      </c>
      <c r="CS48" s="18">
        <v>253.73</v>
      </c>
      <c r="CT48" s="18">
        <v>334.76</v>
      </c>
      <c r="CU48" s="18">
        <v>55.15</v>
      </c>
      <c r="CV48" s="18"/>
      <c r="CW48" s="18"/>
      <c r="CX48" s="18">
        <f>4503.15+0.01</f>
        <v>4503.16</v>
      </c>
      <c r="CY48">
        <v>186.5</v>
      </c>
      <c r="CZ48">
        <v>31.72</v>
      </c>
      <c r="DA48" s="18"/>
      <c r="DB48" s="18">
        <v>2006.55</v>
      </c>
      <c r="DC48" s="18"/>
      <c r="DD48" s="18">
        <v>434.96</v>
      </c>
      <c r="DE48" s="18"/>
      <c r="DF48" s="18">
        <v>319.70999999999998</v>
      </c>
      <c r="DG48" s="18">
        <v>54.379999999999995</v>
      </c>
      <c r="DH48" s="18"/>
      <c r="DI48" s="18"/>
      <c r="DJ48" s="22">
        <v>5245.04</v>
      </c>
      <c r="DK48" s="7">
        <f t="shared" si="2"/>
        <v>7536.9800000000005</v>
      </c>
    </row>
    <row r="49" spans="1:115" x14ac:dyDescent="0.25">
      <c r="A49" s="4">
        <v>2</v>
      </c>
      <c r="B49" s="9" t="s">
        <v>81</v>
      </c>
      <c r="C49" s="9" t="s">
        <v>82</v>
      </c>
      <c r="D49" s="8">
        <v>42543</v>
      </c>
      <c r="E49" s="2" t="s">
        <v>6</v>
      </c>
      <c r="F49" s="18"/>
      <c r="G49" s="18"/>
      <c r="H49" s="18"/>
      <c r="I49" s="18"/>
      <c r="J49" s="18"/>
      <c r="K49" s="18"/>
      <c r="L49" s="18"/>
      <c r="M49" s="18"/>
      <c r="N49" s="18">
        <v>4937.41</v>
      </c>
      <c r="O49" s="18">
        <v>7267.71</v>
      </c>
      <c r="P49" s="18"/>
      <c r="Q49" s="18"/>
      <c r="R49" s="18"/>
      <c r="S49" s="18"/>
      <c r="T49" s="18">
        <v>2049.33</v>
      </c>
      <c r="U49" s="18"/>
      <c r="V49" s="18">
        <f>713.08+((6252.27)*24.75%)-0.01</f>
        <v>2260.5068249999999</v>
      </c>
      <c r="W49" s="18"/>
      <c r="X49" s="18">
        <f>((6252.27)*8%)</f>
        <v>500.18160000000006</v>
      </c>
      <c r="Y49" s="18"/>
      <c r="Z49" s="18">
        <f>601.78+431.65</f>
        <v>1033.4299999999998</v>
      </c>
      <c r="AA49" s="18">
        <f t="shared" ref="AA49" si="42">((6252.27)*1%)</f>
        <v>62.522700000000007</v>
      </c>
      <c r="AB49" s="18"/>
      <c r="AC49" s="18"/>
      <c r="AD49" s="18"/>
      <c r="AE49" s="18"/>
      <c r="AF49" s="18">
        <f>76.09+((2063.42+62)*24.75%)</f>
        <v>602.13145000000009</v>
      </c>
      <c r="AG49" s="18">
        <v>2012.49</v>
      </c>
      <c r="AH49" s="18">
        <f>((2063.42+62)*8%)+0.01</f>
        <v>170.0436</v>
      </c>
      <c r="AI49" s="18">
        <v>444.61</v>
      </c>
      <c r="AJ49" s="18"/>
      <c r="AK49" s="18">
        <f>((2063.42+62)*1%)+62.52</f>
        <v>83.774200000000008</v>
      </c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>
        <f>2476.11+2461.3</f>
        <v>4937.41</v>
      </c>
      <c r="AY49" s="18"/>
      <c r="AZ49" s="18"/>
      <c r="BA49" s="18"/>
      <c r="BB49" s="18"/>
      <c r="BC49" s="18"/>
      <c r="BD49" s="18"/>
      <c r="BE49" s="18"/>
      <c r="BF49" s="18"/>
      <c r="BG49" s="18"/>
      <c r="BH49" s="18">
        <f>2476.11+2667.75</f>
        <v>5143.8600000000006</v>
      </c>
      <c r="BI49" s="18"/>
      <c r="BJ49" s="18">
        <f>713.08+(6252.27*25.5%)-0.01</f>
        <v>2307.39885</v>
      </c>
      <c r="BK49" s="18"/>
      <c r="BL49" s="18">
        <f>(6252.27*8%)</f>
        <v>500.18160000000006</v>
      </c>
      <c r="BM49" s="18"/>
      <c r="BN49" s="18">
        <v>601.78</v>
      </c>
      <c r="BO49" s="18">
        <f>(6252.27*1%)</f>
        <v>62.522700000000007</v>
      </c>
      <c r="BP49" s="18"/>
      <c r="BQ49" s="18"/>
      <c r="BR49" s="18">
        <f>2533.06+2507.58</f>
        <v>5040.6399999999994</v>
      </c>
      <c r="BS49" s="18"/>
      <c r="BT49" s="18">
        <f>(713.08+(6537.03*25.5%))</f>
        <v>2380.0226499999999</v>
      </c>
      <c r="BU49" s="18"/>
      <c r="BV49" s="18">
        <f>(6537.03*8%)</f>
        <v>522.9624</v>
      </c>
      <c r="BW49" s="18"/>
      <c r="BX49" s="18">
        <v>680.09</v>
      </c>
      <c r="BY49" s="18">
        <f>(6537.03*1%)</f>
        <v>65.3703</v>
      </c>
      <c r="BZ49" s="18"/>
      <c r="CA49" s="18"/>
      <c r="CB49" s="18">
        <f>2533.06+2583.38</f>
        <v>5116.4400000000005</v>
      </c>
      <c r="CC49" s="18">
        <v>2951.4274999999998</v>
      </c>
      <c r="CD49" s="18"/>
      <c r="CE49" s="18">
        <f>(713.08+(6394.65*25.5%))</f>
        <v>2343.7157499999998</v>
      </c>
      <c r="CF49" s="18"/>
      <c r="CG49" s="18">
        <f>(6394.65*8%)</f>
        <v>511.572</v>
      </c>
      <c r="CH49" s="18"/>
      <c r="CI49" s="18">
        <v>640.92999999999995</v>
      </c>
      <c r="CJ49" s="18">
        <f>(6394.65*1%)</f>
        <v>63.9465</v>
      </c>
      <c r="CK49" s="18"/>
      <c r="CL49" s="18"/>
      <c r="CM49" s="18">
        <v>5059.58</v>
      </c>
      <c r="CN49" s="18">
        <v>1371.05</v>
      </c>
      <c r="CO49" s="18"/>
      <c r="CP49" s="18">
        <v>2370.4</v>
      </c>
      <c r="CQ49" s="18"/>
      <c r="CR49" s="18">
        <v>519.92999999999995</v>
      </c>
      <c r="CS49" s="18">
        <v>299.64</v>
      </c>
      <c r="CT49" s="18">
        <v>669.7</v>
      </c>
      <c r="CU49" s="18">
        <v>64.989999999999995</v>
      </c>
      <c r="CV49" s="18"/>
      <c r="CW49" s="18"/>
      <c r="CX49" s="18">
        <f>5032.68+0.01</f>
        <v>5032.6900000000005</v>
      </c>
      <c r="CY49" s="18">
        <v>378.08</v>
      </c>
      <c r="CZ49" s="18">
        <v>37.450000000000003</v>
      </c>
      <c r="DA49" s="18"/>
      <c r="DB49" s="18">
        <v>2350.36</v>
      </c>
      <c r="DC49" s="18"/>
      <c r="DD49" s="18">
        <v>513.66999999999996</v>
      </c>
      <c r="DE49" s="18"/>
      <c r="DF49" s="18">
        <v>648.13</v>
      </c>
      <c r="DG49" s="18">
        <v>64.22</v>
      </c>
      <c r="DH49" s="18"/>
      <c r="DI49" s="18"/>
      <c r="DJ49" s="22">
        <v>6356.79</v>
      </c>
      <c r="DK49" s="7">
        <f t="shared" si="2"/>
        <v>9024.5999999999985</v>
      </c>
    </row>
    <row r="50" spans="1:115" x14ac:dyDescent="0.25">
      <c r="A50" s="4">
        <v>2</v>
      </c>
      <c r="B50" s="9" t="s">
        <v>83</v>
      </c>
      <c r="C50" s="9" t="s">
        <v>84</v>
      </c>
      <c r="D50" s="8">
        <v>43010</v>
      </c>
      <c r="E50" s="2" t="s">
        <v>6</v>
      </c>
      <c r="F50" s="18"/>
      <c r="G50" s="18"/>
      <c r="H50" s="18"/>
      <c r="I50" s="18"/>
      <c r="J50" s="18"/>
      <c r="K50" s="18"/>
      <c r="L50" s="18"/>
      <c r="M50" s="18"/>
      <c r="N50" s="18">
        <v>4162.37</v>
      </c>
      <c r="O50" s="18"/>
      <c r="P50" s="18"/>
      <c r="Q50" s="18"/>
      <c r="R50" s="18"/>
      <c r="S50" s="18"/>
      <c r="T50" s="18">
        <f>2043.06+2119.31</f>
        <v>4162.37</v>
      </c>
      <c r="U50" s="18"/>
      <c r="V50" s="18">
        <f>574+(5107.65*24.75%)-0.01</f>
        <v>1838.1333749999999</v>
      </c>
      <c r="W50" s="18"/>
      <c r="X50" s="18">
        <f>(5107.65*8%)</f>
        <v>408.61199999999997</v>
      </c>
      <c r="Y50" s="18"/>
      <c r="Z50" s="18">
        <v>341.28</v>
      </c>
      <c r="AA50" s="18">
        <f t="shared" ref="AA50" si="43">(5107.65*1%)</f>
        <v>51.076499999999996</v>
      </c>
      <c r="AB50" s="18">
        <v>30</v>
      </c>
      <c r="AC50" s="18"/>
      <c r="AD50" s="18">
        <v>4173.96</v>
      </c>
      <c r="AE50" s="18"/>
      <c r="AF50" s="18">
        <f>574+(5107.65*24.75%)</f>
        <v>1838.1433749999999</v>
      </c>
      <c r="AG50" s="18"/>
      <c r="AH50" s="18">
        <f>(5107.65*8%)+0.01</f>
        <v>408.62199999999996</v>
      </c>
      <c r="AI50" s="18"/>
      <c r="AJ50" s="18">
        <v>341.28</v>
      </c>
      <c r="AK50" s="18">
        <f>(5107.65*1%)</f>
        <v>51.076499999999996</v>
      </c>
      <c r="AL50" s="18">
        <v>30</v>
      </c>
      <c r="AM50" s="18"/>
      <c r="AN50" s="18">
        <v>1844.87</v>
      </c>
      <c r="AO50" s="18"/>
      <c r="AP50" s="18">
        <f>218.53+(4767.14*24.75%)-0.01</f>
        <v>1398.38715</v>
      </c>
      <c r="AQ50" s="18"/>
      <c r="AR50" s="18">
        <f>(4767.14*8%)</f>
        <v>381.37120000000004</v>
      </c>
      <c r="AS50" s="18"/>
      <c r="AT50" s="18">
        <v>344.65</v>
      </c>
      <c r="AU50" s="18">
        <f>(4767.14*1%)</f>
        <v>47.671400000000006</v>
      </c>
      <c r="AV50" s="18">
        <v>30</v>
      </c>
      <c r="AW50" s="18"/>
      <c r="AX50" s="18">
        <f>2043.06+2119.31</f>
        <v>4162.37</v>
      </c>
      <c r="AY50" s="18"/>
      <c r="AZ50" s="19">
        <f>168.19+(2043.06*25.5%)</f>
        <v>689.1703</v>
      </c>
      <c r="BA50" s="18"/>
      <c r="BB50" s="19">
        <f>(2043.06*8%)</f>
        <v>163.44479999999999</v>
      </c>
      <c r="BC50" s="18"/>
      <c r="BD50" s="19">
        <v>0</v>
      </c>
      <c r="BE50" s="18">
        <f>(2043.06*1%)</f>
        <v>20.430599999999998</v>
      </c>
      <c r="BF50" s="18">
        <v>30</v>
      </c>
      <c r="BG50" s="18"/>
      <c r="BH50" s="18">
        <f>2043.06+2275.91</f>
        <v>4318.9699999999993</v>
      </c>
      <c r="BI50" s="18"/>
      <c r="BJ50" s="18">
        <f>574+(5107.65*25.5%)-0.01</f>
        <v>1876.44075</v>
      </c>
      <c r="BK50" s="18"/>
      <c r="BL50" s="18">
        <f>(5107.65*8%)</f>
        <v>408.61199999999997</v>
      </c>
      <c r="BM50" s="18"/>
      <c r="BN50" s="18">
        <v>341.28</v>
      </c>
      <c r="BO50" s="18">
        <f>(5107.65*1%)</f>
        <v>51.076499999999996</v>
      </c>
      <c r="BP50" s="18">
        <v>30</v>
      </c>
      <c r="BQ50" s="18"/>
      <c r="BR50" s="18">
        <f>2090.05+2191.94</f>
        <v>4281.99</v>
      </c>
      <c r="BS50" s="18"/>
      <c r="BT50" s="18">
        <f>(606.89+(5342.61*25.5%))</f>
        <v>1969.2555499999999</v>
      </c>
      <c r="BU50" s="18"/>
      <c r="BV50" s="18">
        <f>(5342.61*8%)</f>
        <v>427.40879999999999</v>
      </c>
      <c r="BW50" s="18"/>
      <c r="BX50" s="18">
        <v>386.75</v>
      </c>
      <c r="BY50" s="18">
        <f>(5342.61*1%)-0.01</f>
        <v>53.4161</v>
      </c>
      <c r="BZ50" s="18">
        <v>30</v>
      </c>
      <c r="CA50" s="18"/>
      <c r="CB50" s="18">
        <f>2090.05+2247.71</f>
        <v>4337.76</v>
      </c>
      <c r="CC50" s="18">
        <v>1772.7700000000007</v>
      </c>
      <c r="CD50" s="18"/>
      <c r="CE50" s="18">
        <f>(599.13+(5287.13*25.5%))</f>
        <v>1947.3481500000003</v>
      </c>
      <c r="CF50" s="18"/>
      <c r="CG50" s="18">
        <f>(5287.13*8%)</f>
        <v>422.97040000000004</v>
      </c>
      <c r="CH50" s="18"/>
      <c r="CI50" s="18">
        <v>376.02</v>
      </c>
      <c r="CJ50" s="18">
        <f>(5287.13*1%)</f>
        <v>52.871300000000005</v>
      </c>
      <c r="CK50" s="18">
        <v>30</v>
      </c>
      <c r="CL50" s="18"/>
      <c r="CM50" s="18">
        <v>4296.59</v>
      </c>
      <c r="CN50" s="18">
        <v>1956.01</v>
      </c>
      <c r="CO50" s="18"/>
      <c r="CP50" s="18">
        <v>1980.42</v>
      </c>
      <c r="CQ50" s="18"/>
      <c r="CR50" s="18">
        <v>429.66</v>
      </c>
      <c r="CS50" s="18">
        <v>198.74</v>
      </c>
      <c r="CT50" s="18">
        <v>392.21</v>
      </c>
      <c r="CU50" s="18">
        <v>53.71</v>
      </c>
      <c r="CV50" s="18">
        <v>30</v>
      </c>
      <c r="CW50" s="18"/>
      <c r="CX50" s="18">
        <f>4302.53+0.01</f>
        <v>4302.54</v>
      </c>
      <c r="CY50" s="18">
        <v>221.82</v>
      </c>
      <c r="CZ50" s="18">
        <v>16.07</v>
      </c>
      <c r="DA50" s="18"/>
      <c r="DB50" s="18">
        <v>1955.99</v>
      </c>
      <c r="DC50" s="18"/>
      <c r="DD50" s="18">
        <v>424.73</v>
      </c>
      <c r="DE50" s="18"/>
      <c r="DF50">
        <v>380.26</v>
      </c>
      <c r="DG50" s="18">
        <v>53.08</v>
      </c>
      <c r="DH50" s="18">
        <v>30</v>
      </c>
      <c r="DI50" s="18"/>
      <c r="DJ50" s="22">
        <v>5245.05</v>
      </c>
      <c r="DK50" s="7">
        <f t="shared" si="2"/>
        <v>7384.49</v>
      </c>
    </row>
    <row r="51" spans="1:115" x14ac:dyDescent="0.25">
      <c r="B51" s="29" t="s">
        <v>13</v>
      </c>
      <c r="C51" s="29"/>
      <c r="D51" s="29"/>
      <c r="E51" s="29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29"/>
      <c r="DK51" s="12">
        <f>SUBTOTAL(9,DK5:DK50)</f>
        <v>283445.61999999994</v>
      </c>
    </row>
  </sheetData>
  <autoFilter ref="B4:DK50" xr:uid="{E93E6173-7FEE-453F-BCFD-C0D70ABC5A00}">
    <filterColumn colId="113">
      <filters>
        <filter val="1.100,00"/>
        <filter val="11.438,08"/>
        <filter val="14.185,38"/>
        <filter val="14.215,78"/>
        <filter val="14.439,61"/>
        <filter val="15.103,77"/>
        <filter val="16.434,77"/>
        <filter val="16.788,11"/>
        <filter val="2.360,33"/>
        <filter val="20.601,49"/>
        <filter val="21.076,24"/>
        <filter val="3.296,23"/>
        <filter val="3.433,22"/>
        <filter val="3.647,21"/>
        <filter val="4.074,42"/>
        <filter val="4.232,44"/>
        <filter val="4.548,06"/>
        <filter val="4.715,93"/>
        <filter val="4.776,87"/>
        <filter val="4.855,15"/>
        <filter val="4.881,88"/>
        <filter val="5.090,88"/>
        <filter val="5.145,10"/>
        <filter val="5.567,31"/>
        <filter val="6.228,57"/>
        <filter val="6.253,79"/>
        <filter val="6.275,44"/>
        <filter val="6.294,68"/>
        <filter val="7.384,49"/>
        <filter val="7.536,98"/>
        <filter val="8.623,06"/>
        <filter val="8.815,29"/>
        <filter val="9.024,60"/>
        <filter val="9.900,46"/>
      </filters>
    </filterColumn>
  </autoFilter>
  <sortState xmlns:xlrd2="http://schemas.microsoft.com/office/spreadsheetml/2017/richdata2" ref="B5:DK50">
    <sortCondition ref="B5"/>
  </sortState>
  <mergeCells count="2">
    <mergeCell ref="A1:DK1"/>
    <mergeCell ref="B51:DJ5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5" fitToHeight="2" orientation="portrait" horizontalDpi="4294967294" verticalDpi="4294967294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DEZ_2020</vt:lpstr>
      <vt:lpstr>DEZ_2020!Titulos_de_impressao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Safadi</dc:creator>
  <cp:lastModifiedBy>Luciana Fialho</cp:lastModifiedBy>
  <cp:lastPrinted>2021-01-08T18:55:16Z</cp:lastPrinted>
  <dcterms:created xsi:type="dcterms:W3CDTF">2016-04-12T14:45:53Z</dcterms:created>
  <dcterms:modified xsi:type="dcterms:W3CDTF">2021-02-10T13:27:37Z</dcterms:modified>
</cp:coreProperties>
</file>